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estdiagnostics-my.sharepoint.com/personal/daniel_e_carty_questdiagnostics_com/Documents/Desktop/Keep/Transportation Cmte/20230922_documents/"/>
    </mc:Choice>
  </mc:AlternateContent>
  <xr:revisionPtr revIDLastSave="407" documentId="13_ncr:1_{C45A8D03-2071-4E86-BBE3-BC91D982FBC7}" xr6:coauthVersionLast="47" xr6:coauthVersionMax="47" xr10:uidLastSave="{CE1EFAAD-A8B8-4DEC-8755-8409A87ED734}"/>
  <bookViews>
    <workbookView xWindow="28680" yWindow="-120" windowWidth="20730" windowHeight="11040" xr2:uid="{477B1B80-E3E4-46F1-A309-03E28F8D84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0" i="1" l="1"/>
  <c r="M40" i="1"/>
  <c r="P36" i="1"/>
  <c r="P38" i="1" s="1"/>
  <c r="M36" i="1"/>
  <c r="I37" i="1"/>
  <c r="E37" i="1"/>
  <c r="J37" i="1" s="1"/>
  <c r="I36" i="1"/>
  <c r="E36" i="1"/>
  <c r="I35" i="1"/>
  <c r="E35" i="1"/>
  <c r="J35" i="1" s="1"/>
  <c r="E34" i="1"/>
  <c r="J34" i="1" s="1"/>
  <c r="E33" i="1"/>
  <c r="I34" i="1"/>
  <c r="I33" i="1"/>
  <c r="H32" i="1"/>
  <c r="J33" i="1" l="1"/>
  <c r="J36" i="1"/>
  <c r="I6" i="1"/>
  <c r="I5" i="1"/>
  <c r="I4" i="1"/>
  <c r="I3" i="1"/>
  <c r="I2" i="1"/>
  <c r="I32" i="1"/>
  <c r="H31" i="1"/>
  <c r="I31" i="1" l="1"/>
  <c r="P41" i="1" s="1"/>
  <c r="P42" i="1" s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E4" i="1"/>
  <c r="J4" i="1" s="1"/>
  <c r="E20" i="1"/>
  <c r="E23" i="1"/>
  <c r="E24" i="1"/>
  <c r="E25" i="1"/>
  <c r="E26" i="1"/>
  <c r="J26" i="1" s="1"/>
  <c r="E27" i="1"/>
  <c r="E28" i="1"/>
  <c r="J28" i="1" s="1"/>
  <c r="E30" i="1"/>
  <c r="E31" i="1"/>
  <c r="E32" i="1"/>
  <c r="J32" i="1" s="1"/>
  <c r="E3" i="1"/>
  <c r="J3" i="1" s="1"/>
  <c r="E2" i="1"/>
  <c r="J2" i="1" s="1"/>
  <c r="J27" i="1" l="1"/>
  <c r="J31" i="1"/>
  <c r="J23" i="1"/>
  <c r="J25" i="1"/>
  <c r="J24" i="1"/>
  <c r="J20" i="1"/>
  <c r="J30" i="1"/>
  <c r="D29" i="1"/>
  <c r="E29" i="1" s="1"/>
  <c r="J29" i="1" s="1"/>
  <c r="S21" i="1"/>
  <c r="S35" i="1" s="1"/>
  <c r="M38" i="1" l="1"/>
  <c r="M41" i="1" s="1"/>
  <c r="M42" i="1" s="1"/>
  <c r="S38" i="1" l="1"/>
  <c r="Y37" i="1" l="1"/>
  <c r="Y32" i="1" l="1"/>
  <c r="D22" i="1"/>
  <c r="E22" i="1" s="1"/>
  <c r="J22" i="1" s="1"/>
  <c r="Y30" i="1" l="1"/>
  <c r="D21" i="1"/>
  <c r="E21" i="1" s="1"/>
  <c r="J21" i="1" s="1"/>
  <c r="Y27" i="1" l="1"/>
  <c r="Y34" i="1" l="1"/>
  <c r="V1" i="1" l="1"/>
  <c r="V20" i="1" l="1"/>
  <c r="D19" i="1"/>
  <c r="E19" i="1" s="1"/>
  <c r="J19" i="1" s="1"/>
  <c r="V17" i="1" l="1"/>
  <c r="D18" i="1"/>
  <c r="E18" i="1" s="1"/>
  <c r="J18" i="1" s="1"/>
  <c r="D16" i="1" l="1"/>
  <c r="E16" i="1" s="1"/>
  <c r="J16" i="1" s="1"/>
  <c r="Y22" i="1" l="1"/>
  <c r="D17" i="1"/>
  <c r="E17" i="1" s="1"/>
  <c r="J17" i="1" s="1"/>
  <c r="Y20" i="1" l="1"/>
  <c r="Y18" i="1" l="1"/>
  <c r="Y23" i="1" s="1"/>
  <c r="Y24" i="1" s="1"/>
  <c r="D15" i="1"/>
  <c r="E15" i="1" s="1"/>
  <c r="J15" i="1" s="1"/>
  <c r="D14" i="1" l="1"/>
  <c r="E14" i="1" s="1"/>
  <c r="J14" i="1" s="1"/>
  <c r="D13" i="1"/>
  <c r="E13" i="1" s="1"/>
  <c r="J13" i="1" s="1"/>
  <c r="Y8" i="1"/>
  <c r="Y10" i="1" l="1"/>
  <c r="AE9" i="1"/>
  <c r="D10" i="1" l="1"/>
  <c r="E10" i="1" s="1"/>
  <c r="J10" i="1" s="1"/>
  <c r="D12" i="1"/>
  <c r="E12" i="1" s="1"/>
  <c r="J12" i="1" s="1"/>
  <c r="Y2" i="1" l="1"/>
  <c r="Y6" i="1"/>
  <c r="Y4" i="1" l="1"/>
  <c r="Y12" i="1" s="1"/>
  <c r="Y13" i="1" s="1"/>
  <c r="D11" i="1"/>
  <c r="E11" i="1" s="1"/>
  <c r="J11" i="1" s="1"/>
  <c r="D9" i="1" l="1"/>
  <c r="E9" i="1" s="1"/>
  <c r="J9" i="1" s="1"/>
  <c r="D8" i="1"/>
  <c r="E8" i="1" s="1"/>
  <c r="J8" i="1" s="1"/>
  <c r="D7" i="1"/>
  <c r="E7" i="1" s="1"/>
  <c r="J7" i="1" s="1"/>
  <c r="D6" i="1"/>
  <c r="E6" i="1" s="1"/>
  <c r="J6" i="1" s="1"/>
  <c r="D5" i="1"/>
  <c r="E5" i="1" s="1"/>
  <c r="J5" i="1" s="1"/>
  <c r="V5" i="1"/>
  <c r="V4" i="1"/>
  <c r="V3" i="1"/>
  <c r="V2" i="1"/>
  <c r="AB6" i="1"/>
  <c r="AB5" i="1"/>
  <c r="AB4" i="1"/>
  <c r="AB2" i="1"/>
  <c r="AH6" i="1"/>
  <c r="AH5" i="1"/>
  <c r="V27" i="1" l="1"/>
  <c r="V28" i="1" s="1"/>
  <c r="AH7" i="1"/>
  <c r="AB7" i="1"/>
  <c r="AB8" i="1" s="1"/>
</calcChain>
</file>

<file path=xl/sharedStrings.xml><?xml version="1.0" encoding="utf-8"?>
<sst xmlns="http://schemas.openxmlformats.org/spreadsheetml/2006/main" count="160" uniqueCount="144">
  <si>
    <t>Tommy's Taxi Invoices</t>
  </si>
  <si>
    <t>JFK Invoices</t>
  </si>
  <si>
    <t>Uber Invoices</t>
  </si>
  <si>
    <t>MAPC Grant 1</t>
  </si>
  <si>
    <t>MAPC Grant 2 (Part 1)</t>
  </si>
  <si>
    <t>Meadow Walk Mitigation</t>
  </si>
  <si>
    <t>Coolidge Mitigation ($10,000)</t>
  </si>
  <si>
    <t>JFK May-21</t>
  </si>
  <si>
    <t>Tommy's May-21</t>
  </si>
  <si>
    <t>Tommy's Jun-21</t>
  </si>
  <si>
    <t>JFK Jul-21</t>
  </si>
  <si>
    <t>Tommy's Jul-21</t>
  </si>
  <si>
    <t>$20,000 voted at SB on 3/17/20</t>
  </si>
  <si>
    <t>$5,000 voted at SB on 3/2/21</t>
  </si>
  <si>
    <t>$10,000 voted at Transportation on 2/5/21</t>
  </si>
  <si>
    <t>JFK Jun-21</t>
  </si>
  <si>
    <t>JFK Aug-21</t>
  </si>
  <si>
    <t>Tommy's Aug-21</t>
  </si>
  <si>
    <t>JFK Sep-21</t>
  </si>
  <si>
    <t>Tommy's Sep-21</t>
  </si>
  <si>
    <t>JFK Oct-21</t>
  </si>
  <si>
    <t>see above</t>
  </si>
  <si>
    <t>BayPath Grant 2 ($2,000)</t>
  </si>
  <si>
    <t>BayPath Grant 1 ($3,000)</t>
  </si>
  <si>
    <t>MAPC Grant 2 (Part 2)</t>
  </si>
  <si>
    <t>JFK Nov-21</t>
  </si>
  <si>
    <t>Tommy's Oct-21</t>
  </si>
  <si>
    <t>Tommy's Nov-21</t>
  </si>
  <si>
    <t>JFK Dec-21</t>
  </si>
  <si>
    <t>Tommy's Dec-21</t>
  </si>
  <si>
    <t>Rollover from Part 1</t>
  </si>
  <si>
    <t>$35,000 voted at SB on 11/16/21</t>
  </si>
  <si>
    <t>**Only $46,366 remaining per email from Christine on 11/15/21***</t>
  </si>
  <si>
    <t>JFK Dec-21 Rollover</t>
  </si>
  <si>
    <t>Uber Jan-22</t>
  </si>
  <si>
    <t>JFK Jan-22</t>
  </si>
  <si>
    <t>Tommy's Jan-22</t>
  </si>
  <si>
    <t>Uber Feb-22</t>
  </si>
  <si>
    <t>JFK Feb-22</t>
  </si>
  <si>
    <t>Tommy's Feb-22</t>
  </si>
  <si>
    <t>Uber Mar-22</t>
  </si>
  <si>
    <t>JFK Mar-22</t>
  </si>
  <si>
    <t>Tommy's Mar-22</t>
  </si>
  <si>
    <t>Uber Apr-22</t>
  </si>
  <si>
    <t>JFK Apr-22</t>
  </si>
  <si>
    <t>Tommy's Apr-22</t>
  </si>
  <si>
    <t>Uber May-22</t>
  </si>
  <si>
    <t>JFK May-22</t>
  </si>
  <si>
    <t>Tommy's May-22</t>
  </si>
  <si>
    <t>Uber Jun-22</t>
  </si>
  <si>
    <t>JFK Jun-22</t>
  </si>
  <si>
    <t>Tommy's Jun-22</t>
  </si>
  <si>
    <t>NOTES:</t>
  </si>
  <si>
    <t>Dispatch vote: 4/9/2021</t>
  </si>
  <si>
    <t>$4,950 for year, $3,267 prorated 2021 (May-Dec 2021)</t>
  </si>
  <si>
    <t>MAPC Grant 2 Additional</t>
  </si>
  <si>
    <t>$11,366 voted at SB on 3/22/22 (No further Funds Remaining)</t>
  </si>
  <si>
    <t>2022 ATM - Article 14</t>
  </si>
  <si>
    <t>Dispatch Charges</t>
  </si>
  <si>
    <t>July 21 - June 22</t>
  </si>
  <si>
    <t>May 21 - June 21</t>
  </si>
  <si>
    <t>July 21 - June 22 Dispatch</t>
  </si>
  <si>
    <t>(+$1,250 for dispatch May 2021 - June 2022)</t>
  </si>
  <si>
    <t>(+1,666 for dispatch May 2021 - June 2022)</t>
  </si>
  <si>
    <t>Stow Return to MassDevelopment</t>
  </si>
  <si>
    <t>Total Return Amount to MassDevelopment</t>
  </si>
  <si>
    <t>Sudbury Return to MassDevelopment ($2,510.30)</t>
  </si>
  <si>
    <t>Uber Jul-22</t>
  </si>
  <si>
    <t>Uber Jul-22 Rollover</t>
  </si>
  <si>
    <t>JFK Jul-22</t>
  </si>
  <si>
    <t>Tommy's Jul-22</t>
  </si>
  <si>
    <t>JFK Aug-22</t>
  </si>
  <si>
    <t>Tommy's Aug-22</t>
  </si>
  <si>
    <t>Uber Aug-22</t>
  </si>
  <si>
    <t>Uber Sep-22</t>
  </si>
  <si>
    <t>JFK Sep-22</t>
  </si>
  <si>
    <t>Tommy's Sep-22</t>
  </si>
  <si>
    <t>Uber Oct-22</t>
  </si>
  <si>
    <t>JFK Oct-22</t>
  </si>
  <si>
    <t>Tommy's Oct-22</t>
  </si>
  <si>
    <t>Uber Nov-22</t>
  </si>
  <si>
    <t>JFK Nov-22</t>
  </si>
  <si>
    <t>Tommy's Nov-22</t>
  </si>
  <si>
    <t>Uber Dec-22</t>
  </si>
  <si>
    <t>JFK Dec-22</t>
  </si>
  <si>
    <t>Tommy's Dec-22</t>
  </si>
  <si>
    <t>Emergency Fund: $1,000 vote on 9/7/22</t>
  </si>
  <si>
    <t>MassDevelopment</t>
  </si>
  <si>
    <t>Uber Jan-23</t>
  </si>
  <si>
    <t>Uber Feb-23</t>
  </si>
  <si>
    <t>Uber Mar-23</t>
  </si>
  <si>
    <t>JFK Jan-23</t>
  </si>
  <si>
    <t>Tommy's Jan-23</t>
  </si>
  <si>
    <t>JFK Feb-23</t>
  </si>
  <si>
    <t>Tommy's Feb-23</t>
  </si>
  <si>
    <t>JFK Mar-23</t>
  </si>
  <si>
    <t>Tommy's Mar-23</t>
  </si>
  <si>
    <t>JFK Apr-23</t>
  </si>
  <si>
    <t>Tommy's Apr-23</t>
  </si>
  <si>
    <t>JFK May-23</t>
  </si>
  <si>
    <t>Tommy's May-23</t>
  </si>
  <si>
    <t>Uber Apr-23</t>
  </si>
  <si>
    <t>Uber May-23</t>
  </si>
  <si>
    <t>Annex Invoices</t>
  </si>
  <si>
    <t>Annex Feb-23</t>
  </si>
  <si>
    <t>Annex Mar-23</t>
  </si>
  <si>
    <t>Annex Apr-23</t>
  </si>
  <si>
    <t>Annex May-23</t>
  </si>
  <si>
    <t>REMAINING</t>
  </si>
  <si>
    <t>Avg taxi, last 6 months</t>
  </si>
  <si>
    <t># months funding remaining</t>
  </si>
  <si>
    <t>Estimated $0 balance</t>
  </si>
  <si>
    <t>Total Taxi</t>
  </si>
  <si>
    <t>Avg Uber/Annex, last 6 months</t>
  </si>
  <si>
    <t>March 2021 Go Sudbury Taxi suspended except for COVID vaccination rides</t>
  </si>
  <si>
    <t>July 2022 = We had all riders re-subscribe; changed from 50+ to 60+</t>
  </si>
  <si>
    <t>Feb 1 2023 = Ride limits reduced to 4 Taxi and 6 Uber / mo</t>
  </si>
  <si>
    <t>Feb 2023  Annex pilot began, first charges rec'd</t>
  </si>
  <si>
    <t>Uber + Annex</t>
  </si>
  <si>
    <t>Taxi</t>
  </si>
  <si>
    <t>Uber</t>
  </si>
  <si>
    <t>Total</t>
  </si>
  <si>
    <t>Mar 2023 - Uber rides increased to 10/mo, taxi remains 6/mo</t>
  </si>
  <si>
    <t>TOTAL SPEND</t>
  </si>
  <si>
    <t>JFK Jun-23</t>
  </si>
  <si>
    <t>Tommy's Jun-23</t>
  </si>
  <si>
    <t>Annex Jun-23</t>
  </si>
  <si>
    <t>Uber Jun-23</t>
  </si>
  <si>
    <t>July 22 - June 23 Dispatch</t>
  </si>
  <si>
    <t>2023 ATM - Article 14</t>
  </si>
  <si>
    <t>July 22 - June 23</t>
  </si>
  <si>
    <t>Uber -July-23</t>
  </si>
  <si>
    <t>Annex July-23</t>
  </si>
  <si>
    <t>July 2023 - Began using ATM2023/FY2024 funding for Uber changes</t>
  </si>
  <si>
    <t>Tommy's July -23</t>
  </si>
  <si>
    <t>JFK July-23</t>
  </si>
  <si>
    <t>Tommy's August-23</t>
  </si>
  <si>
    <t>JFK August-23</t>
  </si>
  <si>
    <t>Annex August-23</t>
  </si>
  <si>
    <t>Uber - Aug-23</t>
  </si>
  <si>
    <t>Annex - Aug-23</t>
  </si>
  <si>
    <t>(3 new in March, 8 in April, 5 in May, 11 in June, 2 in July, 9 in Aug, 6 so far Sept)</t>
  </si>
  <si>
    <t>(4 new in March, 5 in April, 6 in May, 7 in June, 5 in July, 11 in Aug, 3 so far Sept)</t>
  </si>
  <si>
    <t>Enrollment through 9/21/2023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</si>
</sst>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17" fontId="0" fillId="0" borderId="0" xfId="0" applyNumberFormat="1"/>
    <xf numFmtId="0" fontId="3" fillId="0" borderId="0" xfId="0" applyFont="1"/>
    <xf numFmtId="164" fontId="0" fillId="0" borderId="0" xfId="0" applyNumberFormat="1"/>
    <xf numFmtId="165" fontId="3" fillId="0" borderId="0" xfId="0" applyNumberFormat="1" applyFont="1"/>
    <xf numFmtId="5" fontId="3" fillId="0" borderId="0" xfId="1" applyNumberFormat="1" applyFont="1"/>
    <xf numFmtId="164" fontId="2" fillId="0" borderId="0" xfId="0" applyNumberFormat="1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4" fillId="0" borderId="0" xfId="0" applyNumberFormat="1" applyFont="1"/>
    <xf numFmtId="0" fontId="5" fillId="0" borderId="0" xfId="0" applyFont="1"/>
    <xf numFmtId="7" fontId="0" fillId="0" borderId="0" xfId="0" applyNumberFormat="1"/>
    <xf numFmtId="0" fontId="4" fillId="0" borderId="0" xfId="0" applyFont="1"/>
    <xf numFmtId="4" fontId="4" fillId="0" borderId="0" xfId="0" applyNumberFormat="1" applyFont="1"/>
    <xf numFmtId="4" fontId="6" fillId="0" borderId="0" xfId="0" applyNumberFormat="1" applyFont="1"/>
    <xf numFmtId="165" fontId="4" fillId="0" borderId="0" xfId="0" applyNumberFormat="1" applyFont="1"/>
    <xf numFmtId="8" fontId="8" fillId="0" borderId="0" xfId="0" applyNumberFormat="1" applyFont="1" applyAlignment="1">
      <alignment horizontal="right"/>
    </xf>
    <xf numFmtId="6" fontId="3" fillId="0" borderId="0" xfId="0" applyNumberFormat="1" applyFont="1"/>
    <xf numFmtId="164" fontId="0" fillId="0" borderId="0" xfId="0" applyNumberFormat="1" applyAlignment="1">
      <alignment horizontal="left"/>
    </xf>
    <xf numFmtId="164" fontId="3" fillId="0" borderId="0" xfId="0" applyNumberFormat="1" applyFont="1"/>
    <xf numFmtId="164" fontId="0" fillId="2" borderId="0" xfId="0" applyNumberFormat="1" applyFill="1"/>
    <xf numFmtId="0" fontId="3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17" fontId="5" fillId="0" borderId="0" xfId="0" applyNumberFormat="1" applyFont="1"/>
    <xf numFmtId="164" fontId="0" fillId="2" borderId="0" xfId="0" applyNumberFormat="1" applyFill="1" applyAlignment="1">
      <alignment horizontal="right"/>
    </xf>
    <xf numFmtId="164" fontId="5" fillId="2" borderId="0" xfId="0" applyNumberFormat="1" applyFont="1" applyFill="1"/>
    <xf numFmtId="164" fontId="5" fillId="0" borderId="0" xfId="0" applyNumberFormat="1" applyFont="1"/>
    <xf numFmtId="0" fontId="3" fillId="3" borderId="0" xfId="0" applyFont="1" applyFill="1"/>
    <xf numFmtId="6" fontId="3" fillId="3" borderId="0" xfId="0" applyNumberFormat="1" applyFont="1" applyFill="1"/>
    <xf numFmtId="164" fontId="0" fillId="3" borderId="0" xfId="0" applyNumberFormat="1" applyFill="1"/>
    <xf numFmtId="0" fontId="0" fillId="3" borderId="0" xfId="0" applyFill="1" applyAlignment="1">
      <alignment horizontal="right"/>
    </xf>
    <xf numFmtId="164" fontId="2" fillId="3" borderId="0" xfId="0" applyNumberFormat="1" applyFont="1" applyFill="1"/>
    <xf numFmtId="0" fontId="5" fillId="3" borderId="0" xfId="0" applyFont="1" applyFill="1" applyAlignment="1">
      <alignment horizontal="right"/>
    </xf>
    <xf numFmtId="164" fontId="6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5" fontId="3" fillId="3" borderId="0" xfId="1" applyNumberFormat="1" applyFont="1" applyFill="1" applyAlignment="1">
      <alignment horizontal="right"/>
    </xf>
    <xf numFmtId="17" fontId="0" fillId="3" borderId="0" xfId="0" applyNumberFormat="1" applyFill="1"/>
    <xf numFmtId="164" fontId="0" fillId="3" borderId="1" xfId="0" applyNumberFormat="1" applyFill="1" applyBorder="1"/>
    <xf numFmtId="8" fontId="2" fillId="3" borderId="0" xfId="0" applyNumberFormat="1" applyFont="1" applyFill="1"/>
    <xf numFmtId="165" fontId="3" fillId="3" borderId="0" xfId="0" applyNumberFormat="1" applyFont="1" applyFill="1"/>
    <xf numFmtId="164" fontId="4" fillId="3" borderId="0" xfId="0" applyNumberFormat="1" applyFont="1" applyFill="1"/>
    <xf numFmtId="164" fontId="7" fillId="3" borderId="0" xfId="0" applyNumberFormat="1" applyFont="1" applyFill="1"/>
    <xf numFmtId="164" fontId="2" fillId="3" borderId="1" xfId="0" applyNumberFormat="1" applyFont="1" applyFill="1" applyBorder="1"/>
    <xf numFmtId="6" fontId="2" fillId="3" borderId="0" xfId="0" applyNumberFormat="1" applyFont="1" applyFill="1"/>
    <xf numFmtId="164" fontId="0" fillId="3" borderId="0" xfId="0" applyNumberFormat="1" applyFill="1" applyAlignment="1">
      <alignment horizontal="right"/>
    </xf>
    <xf numFmtId="17" fontId="5" fillId="2" borderId="0" xfId="0" applyNumberFormat="1" applyFont="1" applyFill="1"/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164" fontId="6" fillId="2" borderId="0" xfId="0" applyNumberFormat="1" applyFont="1" applyFill="1"/>
    <xf numFmtId="0" fontId="5" fillId="2" borderId="0" xfId="0" applyFont="1" applyFill="1"/>
    <xf numFmtId="166" fontId="0" fillId="2" borderId="0" xfId="0" applyNumberFormat="1" applyFill="1"/>
    <xf numFmtId="17" fontId="0" fillId="2" borderId="0" xfId="0" applyNumberFormat="1" applyFill="1"/>
    <xf numFmtId="164" fontId="0" fillId="0" borderId="0" xfId="0" applyNumberFormat="1" applyFill="1" applyAlignment="1">
      <alignment horizontal="left"/>
    </xf>
    <xf numFmtId="164" fontId="4" fillId="0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Spend</a:t>
            </a:r>
          </a:p>
        </c:rich>
      </c:tx>
      <c:layout>
        <c:manualLayout>
          <c:xMode val="edge"/>
          <c:yMode val="edge"/>
          <c:x val="0.42451831914930477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Uber &amp; Annex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Sheet1!$A$2:$A$37</c:f>
              <c:numCache>
                <c:formatCode>mmm\-yy</c:formatCode>
                <c:ptCount val="36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  <c:pt idx="16">
                  <c:v>44562</c:v>
                </c:pt>
                <c:pt idx="17">
                  <c:v>44593</c:v>
                </c:pt>
                <c:pt idx="18">
                  <c:v>44621</c:v>
                </c:pt>
                <c:pt idx="19">
                  <c:v>44652</c:v>
                </c:pt>
                <c:pt idx="20">
                  <c:v>44682</c:v>
                </c:pt>
                <c:pt idx="21">
                  <c:v>44713</c:v>
                </c:pt>
                <c:pt idx="22">
                  <c:v>44743</c:v>
                </c:pt>
                <c:pt idx="23">
                  <c:v>44774</c:v>
                </c:pt>
                <c:pt idx="24">
                  <c:v>44805</c:v>
                </c:pt>
                <c:pt idx="25">
                  <c:v>44835</c:v>
                </c:pt>
                <c:pt idx="26">
                  <c:v>44866</c:v>
                </c:pt>
                <c:pt idx="27">
                  <c:v>44896</c:v>
                </c:pt>
                <c:pt idx="28">
                  <c:v>44927</c:v>
                </c:pt>
                <c:pt idx="29">
                  <c:v>44958</c:v>
                </c:pt>
                <c:pt idx="30">
                  <c:v>44986</c:v>
                </c:pt>
                <c:pt idx="31">
                  <c:v>45017</c:v>
                </c:pt>
                <c:pt idx="32">
                  <c:v>45047</c:v>
                </c:pt>
                <c:pt idx="33">
                  <c:v>45078</c:v>
                </c:pt>
                <c:pt idx="34">
                  <c:v>45108</c:v>
                </c:pt>
                <c:pt idx="35">
                  <c:v>45139</c:v>
                </c:pt>
              </c:numCache>
            </c:numRef>
          </c:cat>
          <c:val>
            <c:numRef>
              <c:f>Sheet1!$I$2:$I$37</c:f>
              <c:numCache>
                <c:formatCode>"$"#,##0.00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73.099999999999994</c:v>
                </c:pt>
                <c:pt idx="6">
                  <c:v>218.64</c:v>
                </c:pt>
                <c:pt idx="7">
                  <c:v>476.11</c:v>
                </c:pt>
                <c:pt idx="8">
                  <c:v>598.13</c:v>
                </c:pt>
                <c:pt idx="9">
                  <c:v>1618.72</c:v>
                </c:pt>
                <c:pt idx="10">
                  <c:v>2388.37</c:v>
                </c:pt>
                <c:pt idx="11">
                  <c:v>3017.75</c:v>
                </c:pt>
                <c:pt idx="12">
                  <c:v>3774.34</c:v>
                </c:pt>
                <c:pt idx="13">
                  <c:v>3492.27</c:v>
                </c:pt>
                <c:pt idx="14">
                  <c:v>2147.85</c:v>
                </c:pt>
                <c:pt idx="15">
                  <c:v>3032.66</c:v>
                </c:pt>
                <c:pt idx="16">
                  <c:v>2426.5300000000002</c:v>
                </c:pt>
                <c:pt idx="17">
                  <c:v>2872.53</c:v>
                </c:pt>
                <c:pt idx="18">
                  <c:v>4590.1099999999997</c:v>
                </c:pt>
                <c:pt idx="19">
                  <c:v>5282.77</c:v>
                </c:pt>
                <c:pt idx="20">
                  <c:v>6185.38</c:v>
                </c:pt>
                <c:pt idx="21">
                  <c:v>4243.07</c:v>
                </c:pt>
                <c:pt idx="22">
                  <c:v>4798.18</c:v>
                </c:pt>
                <c:pt idx="23">
                  <c:v>4578.6899999999996</c:v>
                </c:pt>
                <c:pt idx="24">
                  <c:v>3598.24</c:v>
                </c:pt>
                <c:pt idx="25">
                  <c:v>3921.32</c:v>
                </c:pt>
                <c:pt idx="26">
                  <c:v>3738.53</c:v>
                </c:pt>
                <c:pt idx="27">
                  <c:v>3419.72</c:v>
                </c:pt>
                <c:pt idx="28">
                  <c:v>2975.65</c:v>
                </c:pt>
                <c:pt idx="29">
                  <c:v>1724.7900000000002</c:v>
                </c:pt>
                <c:pt idx="30">
                  <c:v>3045.4300000000003</c:v>
                </c:pt>
                <c:pt idx="31">
                  <c:v>2303.5100000000002</c:v>
                </c:pt>
                <c:pt idx="32">
                  <c:v>2726.23</c:v>
                </c:pt>
                <c:pt idx="33">
                  <c:v>2766.79</c:v>
                </c:pt>
                <c:pt idx="34">
                  <c:v>2741.1800000000003</c:v>
                </c:pt>
                <c:pt idx="35">
                  <c:v>3235.79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0-4857-BDD0-2EF14FCC83DD}"/>
            </c:ext>
          </c:extLst>
        </c:ser>
        <c:ser>
          <c:idx val="1"/>
          <c:order val="1"/>
          <c:tx>
            <c:v>Taxi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Sheet1!$A$2:$A$37</c:f>
              <c:numCache>
                <c:formatCode>mmm\-yy</c:formatCode>
                <c:ptCount val="36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  <c:pt idx="16">
                  <c:v>44562</c:v>
                </c:pt>
                <c:pt idx="17">
                  <c:v>44593</c:v>
                </c:pt>
                <c:pt idx="18">
                  <c:v>44621</c:v>
                </c:pt>
                <c:pt idx="19">
                  <c:v>44652</c:v>
                </c:pt>
                <c:pt idx="20">
                  <c:v>44682</c:v>
                </c:pt>
                <c:pt idx="21">
                  <c:v>44713</c:v>
                </c:pt>
                <c:pt idx="22">
                  <c:v>44743</c:v>
                </c:pt>
                <c:pt idx="23">
                  <c:v>44774</c:v>
                </c:pt>
                <c:pt idx="24">
                  <c:v>44805</c:v>
                </c:pt>
                <c:pt idx="25">
                  <c:v>44835</c:v>
                </c:pt>
                <c:pt idx="26">
                  <c:v>44866</c:v>
                </c:pt>
                <c:pt idx="27">
                  <c:v>44896</c:v>
                </c:pt>
                <c:pt idx="28">
                  <c:v>44927</c:v>
                </c:pt>
                <c:pt idx="29">
                  <c:v>44958</c:v>
                </c:pt>
                <c:pt idx="30">
                  <c:v>44986</c:v>
                </c:pt>
                <c:pt idx="31">
                  <c:v>45017</c:v>
                </c:pt>
                <c:pt idx="32">
                  <c:v>45047</c:v>
                </c:pt>
                <c:pt idx="33">
                  <c:v>45078</c:v>
                </c:pt>
                <c:pt idx="34">
                  <c:v>45108</c:v>
                </c:pt>
                <c:pt idx="35">
                  <c:v>45139</c:v>
                </c:pt>
              </c:numCache>
            </c:numRef>
          </c:cat>
          <c:val>
            <c:numRef>
              <c:f>Sheet1!$E$2:$E$37</c:f>
              <c:numCache>
                <c:formatCode>"$"#,##0.00</c:formatCode>
                <c:ptCount val="36"/>
                <c:pt idx="0">
                  <c:v>2261.5</c:v>
                </c:pt>
                <c:pt idx="1">
                  <c:v>6810.2999999999993</c:v>
                </c:pt>
                <c:pt idx="2">
                  <c:v>6119.6</c:v>
                </c:pt>
                <c:pt idx="3">
                  <c:v>11144.6</c:v>
                </c:pt>
                <c:pt idx="4">
                  <c:v>10971.5</c:v>
                </c:pt>
                <c:pt idx="5">
                  <c:v>6218</c:v>
                </c:pt>
                <c:pt idx="6">
                  <c:v>406.5</c:v>
                </c:pt>
                <c:pt idx="7">
                  <c:v>714</c:v>
                </c:pt>
                <c:pt idx="8">
                  <c:v>2043</c:v>
                </c:pt>
                <c:pt idx="9">
                  <c:v>5170.3</c:v>
                </c:pt>
                <c:pt idx="10">
                  <c:v>3724.5</c:v>
                </c:pt>
                <c:pt idx="11">
                  <c:v>4617.5</c:v>
                </c:pt>
                <c:pt idx="12">
                  <c:v>5056.5</c:v>
                </c:pt>
                <c:pt idx="13">
                  <c:v>5300.3</c:v>
                </c:pt>
                <c:pt idx="14">
                  <c:v>4323.3</c:v>
                </c:pt>
                <c:pt idx="15">
                  <c:v>5040</c:v>
                </c:pt>
                <c:pt idx="16">
                  <c:v>4973.8999999999996</c:v>
                </c:pt>
                <c:pt idx="17">
                  <c:v>7755.5</c:v>
                </c:pt>
                <c:pt idx="18">
                  <c:v>7691.3</c:v>
                </c:pt>
                <c:pt idx="19">
                  <c:v>6230.5</c:v>
                </c:pt>
                <c:pt idx="20">
                  <c:v>6246.1</c:v>
                </c:pt>
                <c:pt idx="21">
                  <c:v>6277</c:v>
                </c:pt>
                <c:pt idx="22">
                  <c:v>4549.3999999999996</c:v>
                </c:pt>
                <c:pt idx="23">
                  <c:v>6995.95</c:v>
                </c:pt>
                <c:pt idx="24">
                  <c:v>8047.45</c:v>
                </c:pt>
                <c:pt idx="25">
                  <c:v>8576</c:v>
                </c:pt>
                <c:pt idx="26">
                  <c:v>7833.65</c:v>
                </c:pt>
                <c:pt idx="27">
                  <c:v>4565.3</c:v>
                </c:pt>
                <c:pt idx="28">
                  <c:v>5856.35</c:v>
                </c:pt>
                <c:pt idx="29">
                  <c:v>3438</c:v>
                </c:pt>
                <c:pt idx="30">
                  <c:v>3234.3</c:v>
                </c:pt>
                <c:pt idx="31">
                  <c:v>5977.1</c:v>
                </c:pt>
                <c:pt idx="32">
                  <c:v>6804.05</c:v>
                </c:pt>
                <c:pt idx="33">
                  <c:v>5261.9</c:v>
                </c:pt>
                <c:pt idx="34">
                  <c:v>3569.1</c:v>
                </c:pt>
                <c:pt idx="35">
                  <c:v>6346.55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0-4857-BDD0-2EF14FCC8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7472"/>
        <c:axId val="36909552"/>
      </c:lineChart>
      <c:dateAx>
        <c:axId val="36907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9552"/>
        <c:crosses val="autoZero"/>
        <c:auto val="1"/>
        <c:lblOffset val="100"/>
        <c:baseTimeUnit val="months"/>
      </c:dateAx>
      <c:valAx>
        <c:axId val="3690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0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1717937000431715"/>
          <c:y val="0.47397885589735556"/>
          <c:w val="7.1121725339127029E-2"/>
          <c:h val="0.3428892432348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11112</xdr:colOff>
      <xdr:row>42</xdr:row>
      <xdr:rowOff>68263</xdr:rowOff>
    </xdr:from>
    <xdr:to>
      <xdr:col>19</xdr:col>
      <xdr:colOff>123637</xdr:colOff>
      <xdr:row>67</xdr:row>
      <xdr:rowOff>123171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4BBA06-1D37-4203-BEAD-C74E50D78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822885</xdr:colOff>
      <xdr:row>49</xdr:row>
      <xdr:rowOff>7471</xdr:rowOff>
    </xdr:from>
    <xdr:to>
      <xdr:col>20</xdr:col>
      <xdr:colOff>1223122</xdr:colOff>
      <xdr:row>51</xdr:row>
      <xdr:rowOff>101506</xdr:rowOff>
    </xdr:to>
    <xdr:sp macro="" textlink="">
      <xdr:nvSpPr>
        <xdr:cNvPr id="3" name="Star: 5 Points 2">
          <a:extLst>
            <a:ext uri="{FF2B5EF4-FFF2-40B4-BE49-F238E27FC236}">
              <a16:creationId xmlns:a16="http://schemas.microsoft.com/office/drawing/2014/main" id="{23EB6C85-7C95-4A75-9E2B-153643CBF3A7}"/>
            </a:ext>
          </a:extLst>
        </xdr:cNvPr>
        <xdr:cNvSpPr/>
      </xdr:nvSpPr>
      <xdr:spPr>
        <a:xfrm>
          <a:off x="12910297" y="9330765"/>
          <a:ext cx="400237" cy="467565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20</xdr:col>
      <xdr:colOff>822325</xdr:colOff>
      <xdr:row>55</xdr:row>
      <xdr:rowOff>18208</xdr:rowOff>
    </xdr:from>
    <xdr:to>
      <xdr:col>20</xdr:col>
      <xdr:colOff>1228912</xdr:colOff>
      <xdr:row>57</xdr:row>
      <xdr:rowOff>112244</xdr:rowOff>
    </xdr:to>
    <xdr:sp macro="" textlink="">
      <xdr:nvSpPr>
        <xdr:cNvPr id="4" name="Star: 5 Points 3">
          <a:extLst>
            <a:ext uri="{FF2B5EF4-FFF2-40B4-BE49-F238E27FC236}">
              <a16:creationId xmlns:a16="http://schemas.microsoft.com/office/drawing/2014/main" id="{245EF87B-E53F-4DA1-AE27-081F0658D0D1}"/>
            </a:ext>
          </a:extLst>
        </xdr:cNvPr>
        <xdr:cNvSpPr/>
      </xdr:nvSpPr>
      <xdr:spPr>
        <a:xfrm>
          <a:off x="12909737" y="10462090"/>
          <a:ext cx="406587" cy="467566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3</a:t>
          </a:r>
        </a:p>
      </xdr:txBody>
    </xdr:sp>
    <xdr:clientData/>
  </xdr:twoCellAnchor>
  <xdr:twoCellAnchor>
    <xdr:from>
      <xdr:col>20</xdr:col>
      <xdr:colOff>833532</xdr:colOff>
      <xdr:row>52</xdr:row>
      <xdr:rowOff>26100</xdr:rowOff>
    </xdr:from>
    <xdr:to>
      <xdr:col>20</xdr:col>
      <xdr:colOff>1233769</xdr:colOff>
      <xdr:row>54</xdr:row>
      <xdr:rowOff>116960</xdr:rowOff>
    </xdr:to>
    <xdr:sp macro="" textlink="">
      <xdr:nvSpPr>
        <xdr:cNvPr id="5" name="Star: 5 Points 4">
          <a:extLst>
            <a:ext uri="{FF2B5EF4-FFF2-40B4-BE49-F238E27FC236}">
              <a16:creationId xmlns:a16="http://schemas.microsoft.com/office/drawing/2014/main" id="{C078F1D8-C0FC-4DE3-9A8C-088EAB07181D}"/>
            </a:ext>
          </a:extLst>
        </xdr:cNvPr>
        <xdr:cNvSpPr/>
      </xdr:nvSpPr>
      <xdr:spPr>
        <a:xfrm>
          <a:off x="12920944" y="9909688"/>
          <a:ext cx="400237" cy="464390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20</xdr:col>
      <xdr:colOff>851647</xdr:colOff>
      <xdr:row>58</xdr:row>
      <xdr:rowOff>101461</xdr:rowOff>
    </xdr:from>
    <xdr:to>
      <xdr:col>20</xdr:col>
      <xdr:colOff>1258234</xdr:colOff>
      <xdr:row>61</xdr:row>
      <xdr:rowOff>8731</xdr:rowOff>
    </xdr:to>
    <xdr:sp macro="" textlink="">
      <xdr:nvSpPr>
        <xdr:cNvPr id="6" name="Star: 5 Points 5">
          <a:extLst>
            <a:ext uri="{FF2B5EF4-FFF2-40B4-BE49-F238E27FC236}">
              <a16:creationId xmlns:a16="http://schemas.microsoft.com/office/drawing/2014/main" id="{DBBFBE62-88BC-47DE-8BAF-2F0AF4A6A8A2}"/>
            </a:ext>
          </a:extLst>
        </xdr:cNvPr>
        <xdr:cNvSpPr/>
      </xdr:nvSpPr>
      <xdr:spPr>
        <a:xfrm>
          <a:off x="12939059" y="11105637"/>
          <a:ext cx="406587" cy="467565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4</a:t>
          </a:r>
        </a:p>
      </xdr:txBody>
    </xdr:sp>
    <xdr:clientData/>
  </xdr:twoCellAnchor>
  <xdr:twoCellAnchor>
    <xdr:from>
      <xdr:col>15</xdr:col>
      <xdr:colOff>519486</xdr:colOff>
      <xdr:row>61</xdr:row>
      <xdr:rowOff>175840</xdr:rowOff>
    </xdr:from>
    <xdr:to>
      <xdr:col>16</xdr:col>
      <xdr:colOff>143436</xdr:colOff>
      <xdr:row>64</xdr:row>
      <xdr:rowOff>75966</xdr:rowOff>
    </xdr:to>
    <xdr:sp macro="" textlink="">
      <xdr:nvSpPr>
        <xdr:cNvPr id="7" name="Star: 5 Points 6">
          <a:extLst>
            <a:ext uri="{FF2B5EF4-FFF2-40B4-BE49-F238E27FC236}">
              <a16:creationId xmlns:a16="http://schemas.microsoft.com/office/drawing/2014/main" id="{83F259DE-A4CA-4BAC-B328-86DC51E8BB70}"/>
            </a:ext>
          </a:extLst>
        </xdr:cNvPr>
        <xdr:cNvSpPr/>
      </xdr:nvSpPr>
      <xdr:spPr>
        <a:xfrm>
          <a:off x="12878174" y="11343903"/>
          <a:ext cx="409762" cy="435907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4</a:t>
          </a:r>
        </a:p>
      </xdr:txBody>
    </xdr:sp>
    <xdr:clientData/>
  </xdr:twoCellAnchor>
  <xdr:twoCellAnchor>
    <xdr:from>
      <xdr:col>20</xdr:col>
      <xdr:colOff>847725</xdr:colOff>
      <xdr:row>62</xdr:row>
      <xdr:rowOff>15875</xdr:rowOff>
    </xdr:from>
    <xdr:to>
      <xdr:col>20</xdr:col>
      <xdr:colOff>1257487</xdr:colOff>
      <xdr:row>64</xdr:row>
      <xdr:rowOff>104120</xdr:rowOff>
    </xdr:to>
    <xdr:sp macro="" textlink="">
      <xdr:nvSpPr>
        <xdr:cNvPr id="8" name="Star: 5 Points 7">
          <a:extLst>
            <a:ext uri="{FF2B5EF4-FFF2-40B4-BE49-F238E27FC236}">
              <a16:creationId xmlns:a16="http://schemas.microsoft.com/office/drawing/2014/main" id="{14528FB6-2DD2-4E41-BC86-DFC53E25E48A}"/>
            </a:ext>
          </a:extLst>
        </xdr:cNvPr>
        <xdr:cNvSpPr/>
      </xdr:nvSpPr>
      <xdr:spPr>
        <a:xfrm>
          <a:off x="13106400" y="11464925"/>
          <a:ext cx="409762" cy="450195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5</a:t>
          </a:r>
        </a:p>
      </xdr:txBody>
    </xdr:sp>
    <xdr:clientData/>
  </xdr:twoCellAnchor>
  <xdr:twoCellAnchor>
    <xdr:from>
      <xdr:col>16</xdr:col>
      <xdr:colOff>103982</xdr:colOff>
      <xdr:row>54</xdr:row>
      <xdr:rowOff>66675</xdr:rowOff>
    </xdr:from>
    <xdr:to>
      <xdr:col>17</xdr:col>
      <xdr:colOff>356581</xdr:colOff>
      <xdr:row>56</xdr:row>
      <xdr:rowOff>154920</xdr:rowOff>
    </xdr:to>
    <xdr:sp macro="" textlink="">
      <xdr:nvSpPr>
        <xdr:cNvPr id="9" name="Star: 5 Points 8">
          <a:extLst>
            <a:ext uri="{FF2B5EF4-FFF2-40B4-BE49-F238E27FC236}">
              <a16:creationId xmlns:a16="http://schemas.microsoft.com/office/drawing/2014/main" id="{1DC0FF56-1F7B-4FD5-9497-E139F2894F66}"/>
            </a:ext>
          </a:extLst>
        </xdr:cNvPr>
        <xdr:cNvSpPr/>
      </xdr:nvSpPr>
      <xdr:spPr>
        <a:xfrm>
          <a:off x="13248482" y="9984581"/>
          <a:ext cx="419287" cy="445433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5</a:t>
          </a:r>
        </a:p>
      </xdr:txBody>
    </xdr:sp>
    <xdr:clientData/>
  </xdr:twoCellAnchor>
  <xdr:twoCellAnchor>
    <xdr:from>
      <xdr:col>17</xdr:col>
      <xdr:colOff>1035843</xdr:colOff>
      <xdr:row>60</xdr:row>
      <xdr:rowOff>134937</xdr:rowOff>
    </xdr:from>
    <xdr:to>
      <xdr:col>17</xdr:col>
      <xdr:colOff>1458305</xdr:colOff>
      <xdr:row>63</xdr:row>
      <xdr:rowOff>44587</xdr:rowOff>
    </xdr:to>
    <xdr:sp macro="" textlink="">
      <xdr:nvSpPr>
        <xdr:cNvPr id="11" name="Star: 5 Points 10">
          <a:extLst>
            <a:ext uri="{FF2B5EF4-FFF2-40B4-BE49-F238E27FC236}">
              <a16:creationId xmlns:a16="http://schemas.microsoft.com/office/drawing/2014/main" id="{BCB4C051-356E-43E0-8E28-855CACAC2978}"/>
            </a:ext>
          </a:extLst>
        </xdr:cNvPr>
        <xdr:cNvSpPr/>
      </xdr:nvSpPr>
      <xdr:spPr>
        <a:xfrm>
          <a:off x="14347031" y="11124406"/>
          <a:ext cx="422462" cy="445431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6</a:t>
          </a:r>
        </a:p>
      </xdr:txBody>
    </xdr:sp>
    <xdr:clientData/>
  </xdr:twoCellAnchor>
  <xdr:twoCellAnchor>
    <xdr:from>
      <xdr:col>20</xdr:col>
      <xdr:colOff>858044</xdr:colOff>
      <xdr:row>65</xdr:row>
      <xdr:rowOff>91281</xdr:rowOff>
    </xdr:from>
    <xdr:to>
      <xdr:col>20</xdr:col>
      <xdr:colOff>1267806</xdr:colOff>
      <xdr:row>68</xdr:row>
      <xdr:rowOff>7282</xdr:rowOff>
    </xdr:to>
    <xdr:sp macro="" textlink="">
      <xdr:nvSpPr>
        <xdr:cNvPr id="12" name="Star: 5 Points 11">
          <a:extLst>
            <a:ext uri="{FF2B5EF4-FFF2-40B4-BE49-F238E27FC236}">
              <a16:creationId xmlns:a16="http://schemas.microsoft.com/office/drawing/2014/main" id="{5AEC3AC7-D59F-49DB-9F6F-9E79CA7C3B98}"/>
            </a:ext>
          </a:extLst>
        </xdr:cNvPr>
        <xdr:cNvSpPr/>
      </xdr:nvSpPr>
      <xdr:spPr>
        <a:xfrm>
          <a:off x="17050544" y="11985625"/>
          <a:ext cx="409762" cy="451782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6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0.70925</cdr:x>
      <cdr:y>0.62412</cdr:y>
    </cdr:from>
    <cdr:to>
      <cdr:x>0.75287</cdr:x>
      <cdr:y>0.72091</cdr:y>
    </cdr:to>
    <cdr:sp macro="" textlink="">
      <cdr:nvSpPr>
        <cdr:cNvPr id="2" name="Star: 5 Points 1">
          <a:extLst xmlns:a="http://schemas.openxmlformats.org/drawingml/2006/main">
            <a:ext uri="{FF2B5EF4-FFF2-40B4-BE49-F238E27FC236}">
              <a16:creationId xmlns:a16="http://schemas.microsoft.com/office/drawing/2014/main" id="{CD73CDD4-258B-7E85-6553-2AA05E9DD653}"/>
            </a:ext>
          </a:extLst>
        </cdr:cNvPr>
        <cdr:cNvSpPr/>
      </cdr:nvSpPr>
      <cdr:spPr>
        <a:xfrm xmlns:a="http://schemas.openxmlformats.org/drawingml/2006/main">
          <a:off x="8368361" y="2824840"/>
          <a:ext cx="514669" cy="438081"/>
        </a:xfrm>
        <a:prstGeom xmlns:a="http://schemas.openxmlformats.org/drawingml/2006/main" prst="star5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>
              <a:solidFill>
                <a:schemeClr val="tx1"/>
              </a:solidFill>
            </a:rPr>
            <a:t>3</a:t>
          </a:r>
        </a:p>
      </cdr:txBody>
    </cdr:sp>
  </cdr:relSizeAnchor>
  <cdr:relSizeAnchor xmlns:cdr="http://schemas.openxmlformats.org/drawingml/2006/chartDrawing">
    <cdr:from>
      <cdr:x>0.56246</cdr:x>
      <cdr:y>0.61609</cdr:y>
    </cdr:from>
    <cdr:to>
      <cdr:x>0.60244</cdr:x>
      <cdr:y>0.71288</cdr:y>
    </cdr:to>
    <cdr:sp macro="" textlink="">
      <cdr:nvSpPr>
        <cdr:cNvPr id="3" name="Star: 5 Points 2">
          <a:extLst xmlns:a="http://schemas.openxmlformats.org/drawingml/2006/main">
            <a:ext uri="{FF2B5EF4-FFF2-40B4-BE49-F238E27FC236}">
              <a16:creationId xmlns:a16="http://schemas.microsoft.com/office/drawing/2014/main" id="{9B171197-210F-418B-14F1-16C0F252F158}"/>
            </a:ext>
          </a:extLst>
        </cdr:cNvPr>
        <cdr:cNvSpPr/>
      </cdr:nvSpPr>
      <cdr:spPr>
        <a:xfrm xmlns:a="http://schemas.openxmlformats.org/drawingml/2006/main">
          <a:off x="6636420" y="2788490"/>
          <a:ext cx="471720" cy="438081"/>
        </a:xfrm>
        <a:prstGeom xmlns:a="http://schemas.openxmlformats.org/drawingml/2006/main" prst="star5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>
              <a:solidFill>
                <a:schemeClr val="tx1"/>
              </a:solidFill>
            </a:rPr>
            <a:t>2</a:t>
          </a:r>
        </a:p>
      </cdr:txBody>
    </cdr:sp>
  </cdr:relSizeAnchor>
  <cdr:relSizeAnchor xmlns:cdr="http://schemas.openxmlformats.org/drawingml/2006/chartDrawing">
    <cdr:from>
      <cdr:x>0.18296</cdr:x>
      <cdr:y>0.75178</cdr:y>
    </cdr:from>
    <cdr:to>
      <cdr:x>0.24257</cdr:x>
      <cdr:y>0.84856</cdr:y>
    </cdr:to>
    <cdr:sp macro="" textlink="">
      <cdr:nvSpPr>
        <cdr:cNvPr id="4" name="Star: 5 Points 3">
          <a:extLst xmlns:a="http://schemas.openxmlformats.org/drawingml/2006/main">
            <a:ext uri="{FF2B5EF4-FFF2-40B4-BE49-F238E27FC236}">
              <a16:creationId xmlns:a16="http://schemas.microsoft.com/office/drawing/2014/main" id="{529D7907-E09C-DE12-1007-7CCDD0AD279E}"/>
            </a:ext>
          </a:extLst>
        </cdr:cNvPr>
        <cdr:cNvSpPr/>
      </cdr:nvSpPr>
      <cdr:spPr>
        <a:xfrm xmlns:a="http://schemas.openxmlformats.org/drawingml/2006/main">
          <a:off x="2158744" y="3402625"/>
          <a:ext cx="703333" cy="438036"/>
        </a:xfrm>
        <a:prstGeom xmlns:a="http://schemas.openxmlformats.org/drawingml/2006/main" prst="star5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>
              <a:solidFill>
                <a:schemeClr val="tx1"/>
              </a:solidFill>
            </a:rPr>
            <a:t>1</a:t>
          </a:r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168E7-3546-4922-A4DD-F9986BF348C6}">
  <dimension ref="A1:AI67"/>
  <sheetViews>
    <sheetView tabSelected="1" zoomScale="80" zoomScaleNormal="80" workbookViewId="0">
      <pane ySplit="1" topLeftCell="A39" activePane="bottomLeft" state="frozen"/>
      <selection pane="bottomLeft" activeCell="A39" sqref="A39:J41"/>
    </sheetView>
  </sheetViews>
  <sheetFormatPr defaultRowHeight="14.5" x14ac:dyDescent="0.35"/>
  <cols>
    <col min="2" max="2" width="13.90625" customWidth="1"/>
    <col min="4" max="5" width="11.08984375" customWidth="1"/>
    <col min="7" max="7" width="10.6328125" customWidth="1"/>
    <col min="8" max="8" width="13.81640625" customWidth="1"/>
    <col min="9" max="9" width="13.90625" bestFit="1" customWidth="1"/>
    <col min="10" max="10" width="13.90625" style="10" customWidth="1"/>
    <col min="11" max="11" width="2.36328125" customWidth="1"/>
    <col min="12" max="12" width="18.6328125" customWidth="1"/>
    <col min="13" max="13" width="10.54296875" customWidth="1"/>
    <col min="14" max="14" width="2.36328125" customWidth="1"/>
    <col min="15" max="15" width="28.1796875" bestFit="1" customWidth="1"/>
    <col min="16" max="16" width="11.36328125" bestFit="1" customWidth="1"/>
    <col min="17" max="17" width="2.36328125" customWidth="1"/>
    <col min="18" max="18" width="28.1796875" bestFit="1" customWidth="1"/>
    <col min="19" max="19" width="10.6328125" bestFit="1" customWidth="1"/>
    <col min="20" max="20" width="2.36328125" customWidth="1"/>
    <col min="21" max="21" width="19.6328125" customWidth="1"/>
    <col min="22" max="22" width="11.90625" customWidth="1"/>
    <col min="23" max="23" width="2.453125" customWidth="1"/>
    <col min="24" max="24" width="25.453125" customWidth="1"/>
    <col min="25" max="25" width="11.90625" bestFit="1" customWidth="1"/>
    <col min="26" max="26" width="2.453125" customWidth="1"/>
    <col min="27" max="27" width="15.90625" customWidth="1"/>
    <col min="28" max="28" width="10.90625" customWidth="1"/>
    <col min="29" max="29" width="2.453125" customWidth="1"/>
    <col min="30" max="30" width="12.90625" customWidth="1"/>
    <col min="31" max="31" width="13" customWidth="1"/>
    <col min="32" max="32" width="2.36328125" customWidth="1"/>
    <col min="34" max="34" width="10.453125" customWidth="1"/>
  </cols>
  <sheetData>
    <row r="1" spans="1:35" s="2" customFormat="1" ht="15.5" x14ac:dyDescent="0.35">
      <c r="A1" s="48" t="s">
        <v>0</v>
      </c>
      <c r="B1" s="48"/>
      <c r="C1" s="48" t="s">
        <v>1</v>
      </c>
      <c r="D1" s="48"/>
      <c r="E1" s="21" t="s">
        <v>112</v>
      </c>
      <c r="F1" s="48" t="s">
        <v>2</v>
      </c>
      <c r="G1" s="48"/>
      <c r="H1" s="21" t="s">
        <v>103</v>
      </c>
      <c r="I1" s="21" t="s">
        <v>118</v>
      </c>
      <c r="J1" s="21" t="s">
        <v>123</v>
      </c>
      <c r="L1" s="2" t="s">
        <v>87</v>
      </c>
      <c r="M1" s="17">
        <v>87000</v>
      </c>
      <c r="O1" s="2" t="s">
        <v>129</v>
      </c>
      <c r="P1" s="17">
        <v>150000</v>
      </c>
      <c r="R1" s="28" t="s">
        <v>57</v>
      </c>
      <c r="S1" s="29">
        <v>100000</v>
      </c>
      <c r="T1" s="17"/>
      <c r="U1" s="28" t="s">
        <v>5</v>
      </c>
      <c r="V1" s="37">
        <f>20000+5000+35000+11366</f>
        <v>71366</v>
      </c>
      <c r="W1" s="4"/>
      <c r="X1" s="28" t="s">
        <v>4</v>
      </c>
      <c r="Y1" s="41">
        <v>18150</v>
      </c>
      <c r="Z1" s="4"/>
      <c r="AA1" s="28" t="s">
        <v>3</v>
      </c>
      <c r="AB1" s="41">
        <v>21950</v>
      </c>
      <c r="AC1" s="5"/>
      <c r="AD1" s="28" t="s">
        <v>23</v>
      </c>
      <c r="AE1" s="28"/>
      <c r="AG1" s="28" t="s">
        <v>6</v>
      </c>
      <c r="AH1" s="28"/>
      <c r="AI1" s="28"/>
    </row>
    <row r="2" spans="1:35" x14ac:dyDescent="0.35">
      <c r="A2" s="24">
        <v>44075</v>
      </c>
      <c r="B2" s="3">
        <v>772.3</v>
      </c>
      <c r="C2" s="24">
        <v>44075</v>
      </c>
      <c r="D2" s="3">
        <v>1489.2</v>
      </c>
      <c r="E2" s="3">
        <f>B2+D2</f>
        <v>2261.5</v>
      </c>
      <c r="F2" s="10"/>
      <c r="G2" s="3"/>
      <c r="H2" s="3"/>
      <c r="I2" s="3">
        <f t="shared" ref="I2:I6" si="0">G2+H2</f>
        <v>0</v>
      </c>
      <c r="J2" s="27">
        <f>E2+I2</f>
        <v>2261.5</v>
      </c>
      <c r="K2" s="3"/>
      <c r="L2" s="8" t="s">
        <v>91</v>
      </c>
      <c r="M2" s="3">
        <v>2864</v>
      </c>
      <c r="N2" s="3"/>
      <c r="O2" s="8" t="s">
        <v>131</v>
      </c>
      <c r="P2" s="9">
        <v>2602.11</v>
      </c>
      <c r="Q2" s="3"/>
      <c r="R2" s="30" t="s">
        <v>61</v>
      </c>
      <c r="S2" s="30">
        <v>2859</v>
      </c>
      <c r="T2" s="3"/>
      <c r="U2" s="38">
        <v>44197</v>
      </c>
      <c r="V2" s="30">
        <f>129.1+2228.4</f>
        <v>2357.5</v>
      </c>
      <c r="W2" s="3"/>
      <c r="X2" s="35" t="s">
        <v>7</v>
      </c>
      <c r="Y2" s="30">
        <f>1224+180+75</f>
        <v>1479</v>
      </c>
      <c r="Z2" s="3"/>
      <c r="AA2" s="38">
        <v>44075</v>
      </c>
      <c r="AB2" s="30">
        <f>3651+2160</f>
        <v>5811</v>
      </c>
      <c r="AC2" s="3"/>
      <c r="AD2" s="38">
        <v>44075</v>
      </c>
      <c r="AE2" s="45">
        <v>3000</v>
      </c>
      <c r="AF2" s="3"/>
      <c r="AG2" s="38">
        <v>44075</v>
      </c>
      <c r="AH2" s="30">
        <v>260.8</v>
      </c>
      <c r="AI2" s="35"/>
    </row>
    <row r="3" spans="1:35" x14ac:dyDescent="0.35">
      <c r="A3" s="24">
        <v>44105</v>
      </c>
      <c r="B3" s="3">
        <v>2878.7</v>
      </c>
      <c r="C3" s="24">
        <v>44105</v>
      </c>
      <c r="D3" s="3">
        <v>3931.6</v>
      </c>
      <c r="E3" s="3">
        <f>B3+D3</f>
        <v>6810.2999999999993</v>
      </c>
      <c r="F3" s="10"/>
      <c r="G3" s="9"/>
      <c r="H3" s="3"/>
      <c r="I3" s="3">
        <f t="shared" si="0"/>
        <v>0</v>
      </c>
      <c r="J3" s="27">
        <f t="shared" ref="J3:J37" si="1">E3+I3</f>
        <v>6810.2999999999993</v>
      </c>
      <c r="K3" s="3"/>
      <c r="L3" s="8" t="s">
        <v>92</v>
      </c>
      <c r="M3" s="3">
        <v>2992.35</v>
      </c>
      <c r="N3" s="3"/>
      <c r="O3" s="8" t="s">
        <v>132</v>
      </c>
      <c r="P3" s="3">
        <v>139.07</v>
      </c>
      <c r="Q3" s="3"/>
      <c r="R3" s="31" t="s">
        <v>50</v>
      </c>
      <c r="S3" s="30">
        <v>2770</v>
      </c>
      <c r="T3" s="3"/>
      <c r="U3" s="38">
        <v>44228</v>
      </c>
      <c r="V3" s="30">
        <f>4357+1861+73.1</f>
        <v>6291.1</v>
      </c>
      <c r="W3" s="3"/>
      <c r="X3" s="35" t="s">
        <v>8</v>
      </c>
      <c r="Y3" s="30">
        <v>564</v>
      </c>
      <c r="Z3" s="3"/>
      <c r="AA3" s="38">
        <v>44105</v>
      </c>
      <c r="AB3" s="46" t="s">
        <v>21</v>
      </c>
      <c r="AC3" s="3"/>
      <c r="AD3" s="38">
        <v>44105</v>
      </c>
      <c r="AE3" s="31" t="s">
        <v>21</v>
      </c>
      <c r="AF3" s="3"/>
      <c r="AG3" s="38">
        <v>44105</v>
      </c>
      <c r="AH3" s="31" t="s">
        <v>21</v>
      </c>
      <c r="AI3" s="35"/>
    </row>
    <row r="4" spans="1:35" ht="15.5" x14ac:dyDescent="0.35">
      <c r="A4" s="24">
        <v>44136</v>
      </c>
      <c r="B4" s="3">
        <v>2471</v>
      </c>
      <c r="C4" s="24">
        <v>44136</v>
      </c>
      <c r="D4" s="3">
        <v>3648.6</v>
      </c>
      <c r="E4" s="3">
        <f t="shared" ref="E4:E37" si="2">B4+D4</f>
        <v>6119.6</v>
      </c>
      <c r="F4" s="10"/>
      <c r="G4" s="3"/>
      <c r="H4" s="3"/>
      <c r="I4" s="3">
        <f t="shared" si="0"/>
        <v>0</v>
      </c>
      <c r="J4" s="27">
        <f t="shared" si="1"/>
        <v>6119.6</v>
      </c>
      <c r="K4" s="3"/>
      <c r="L4" s="8" t="s">
        <v>93</v>
      </c>
      <c r="M4" s="3">
        <v>1308</v>
      </c>
      <c r="N4" s="3"/>
      <c r="O4" s="25" t="s">
        <v>139</v>
      </c>
      <c r="P4" s="20">
        <v>2679.51</v>
      </c>
      <c r="Q4" s="3"/>
      <c r="R4" s="31" t="s">
        <v>51</v>
      </c>
      <c r="S4" s="30">
        <v>3507</v>
      </c>
      <c r="T4" s="3"/>
      <c r="U4" s="38">
        <v>44256</v>
      </c>
      <c r="V4" s="30">
        <f>218.64+186.5</f>
        <v>405.14</v>
      </c>
      <c r="W4" s="3"/>
      <c r="X4" s="35" t="s">
        <v>15</v>
      </c>
      <c r="Y4" s="30">
        <f>3354+200</f>
        <v>3554</v>
      </c>
      <c r="Z4" s="3"/>
      <c r="AA4" s="38">
        <v>44136</v>
      </c>
      <c r="AB4" s="30">
        <f>2471+540</f>
        <v>3011</v>
      </c>
      <c r="AC4" s="3"/>
      <c r="AD4" s="28" t="s">
        <v>22</v>
      </c>
      <c r="AE4" s="28"/>
      <c r="AF4" s="3"/>
      <c r="AG4" s="38">
        <v>44136</v>
      </c>
      <c r="AH4" s="30">
        <v>3108.6</v>
      </c>
      <c r="AI4" s="35"/>
    </row>
    <row r="5" spans="1:35" x14ac:dyDescent="0.35">
      <c r="A5" s="24">
        <v>44166</v>
      </c>
      <c r="B5" s="3">
        <v>5905.6</v>
      </c>
      <c r="C5" s="24">
        <v>44166</v>
      </c>
      <c r="D5" s="3">
        <f>4879+360</f>
        <v>5239</v>
      </c>
      <c r="E5" s="3">
        <f t="shared" si="2"/>
        <v>11144.6</v>
      </c>
      <c r="F5" s="10"/>
      <c r="G5" s="3"/>
      <c r="H5" s="3"/>
      <c r="I5" s="3">
        <f t="shared" si="0"/>
        <v>0</v>
      </c>
      <c r="J5" s="27">
        <f t="shared" si="1"/>
        <v>11144.6</v>
      </c>
      <c r="K5" s="3"/>
      <c r="L5" s="8" t="s">
        <v>94</v>
      </c>
      <c r="M5" s="3">
        <v>2130</v>
      </c>
      <c r="N5" s="3"/>
      <c r="O5" s="25" t="s">
        <v>140</v>
      </c>
      <c r="P5" s="20">
        <v>0</v>
      </c>
      <c r="Q5" s="3"/>
      <c r="R5" s="31" t="s">
        <v>68</v>
      </c>
      <c r="S5" s="32">
        <v>4319.32</v>
      </c>
      <c r="T5" s="3"/>
      <c r="U5" s="38">
        <v>44287</v>
      </c>
      <c r="V5" s="30">
        <f>476.11+706</f>
        <v>1182.1100000000001</v>
      </c>
      <c r="W5" s="3"/>
      <c r="X5" s="35" t="s">
        <v>9</v>
      </c>
      <c r="Y5" s="30">
        <v>1616.3</v>
      </c>
      <c r="Z5" s="3"/>
      <c r="AA5" s="38">
        <v>44166</v>
      </c>
      <c r="AB5" s="30">
        <f>5905.6+1260</f>
        <v>7165.6</v>
      </c>
      <c r="AC5" s="3"/>
      <c r="AD5" s="35"/>
      <c r="AE5" s="30">
        <v>48</v>
      </c>
      <c r="AF5" s="3"/>
      <c r="AG5" s="38">
        <v>44166</v>
      </c>
      <c r="AH5" s="30">
        <f>3619+360</f>
        <v>3979</v>
      </c>
      <c r="AI5" s="35"/>
    </row>
    <row r="6" spans="1:35" ht="15" thickBot="1" x14ac:dyDescent="0.4">
      <c r="A6" s="24">
        <v>44197</v>
      </c>
      <c r="B6" s="3">
        <v>5551.5</v>
      </c>
      <c r="C6" s="24">
        <v>44197</v>
      </c>
      <c r="D6" s="3">
        <f>5050+370</f>
        <v>5420</v>
      </c>
      <c r="E6" s="3">
        <f t="shared" si="2"/>
        <v>10971.5</v>
      </c>
      <c r="F6" s="10"/>
      <c r="G6" s="3"/>
      <c r="H6" s="3"/>
      <c r="I6" s="3">
        <f t="shared" si="0"/>
        <v>0</v>
      </c>
      <c r="J6" s="27">
        <f t="shared" si="1"/>
        <v>10971.5</v>
      </c>
      <c r="K6" s="3"/>
      <c r="L6" s="8" t="s">
        <v>104</v>
      </c>
      <c r="M6" s="3">
        <v>405.42</v>
      </c>
      <c r="N6" s="3"/>
      <c r="O6" s="8"/>
      <c r="P6" s="3"/>
      <c r="Q6" s="3"/>
      <c r="R6" s="31" t="s">
        <v>69</v>
      </c>
      <c r="S6" s="30">
        <v>2178</v>
      </c>
      <c r="T6" s="3"/>
      <c r="U6" s="38">
        <v>44317</v>
      </c>
      <c r="V6" s="30">
        <v>598.13</v>
      </c>
      <c r="W6" s="3"/>
      <c r="X6" s="35" t="s">
        <v>10</v>
      </c>
      <c r="Y6" s="30">
        <f>2376+130</f>
        <v>2506</v>
      </c>
      <c r="Z6" s="3"/>
      <c r="AA6" s="38">
        <v>44197</v>
      </c>
      <c r="AB6" s="39">
        <f>5551.5+540</f>
        <v>6091.5</v>
      </c>
      <c r="AC6" s="3"/>
      <c r="AD6" s="35"/>
      <c r="AE6" s="30">
        <v>180</v>
      </c>
      <c r="AF6" s="3"/>
      <c r="AG6" s="38">
        <v>44197</v>
      </c>
      <c r="AH6" s="39">
        <f>2281.6+370</f>
        <v>2651.6</v>
      </c>
      <c r="AI6" s="35"/>
    </row>
    <row r="7" spans="1:35" ht="15" thickTop="1" x14ac:dyDescent="0.35">
      <c r="A7" s="24">
        <v>44228</v>
      </c>
      <c r="B7" s="3">
        <v>1861</v>
      </c>
      <c r="C7" s="24">
        <v>44228</v>
      </c>
      <c r="D7" s="3">
        <f>3732+265+360</f>
        <v>4357</v>
      </c>
      <c r="E7" s="3">
        <f t="shared" si="2"/>
        <v>6218</v>
      </c>
      <c r="F7" s="24">
        <v>44228</v>
      </c>
      <c r="G7" s="3">
        <v>73.099999999999994</v>
      </c>
      <c r="H7" s="3"/>
      <c r="I7" s="3">
        <f>G7+H7</f>
        <v>73.099999999999994</v>
      </c>
      <c r="J7" s="27">
        <f t="shared" si="1"/>
        <v>6291.1</v>
      </c>
      <c r="K7" s="3"/>
      <c r="L7" s="8" t="s">
        <v>95</v>
      </c>
      <c r="M7" s="3">
        <v>1644</v>
      </c>
      <c r="N7" s="3"/>
      <c r="O7" s="8"/>
      <c r="P7" s="3"/>
      <c r="Q7" s="3"/>
      <c r="R7" s="31" t="s">
        <v>70</v>
      </c>
      <c r="S7" s="30">
        <v>2371.4</v>
      </c>
      <c r="T7" s="3"/>
      <c r="U7" s="38">
        <v>44348</v>
      </c>
      <c r="V7" s="30">
        <v>1618.72</v>
      </c>
      <c r="W7" s="3"/>
      <c r="X7" s="35" t="s">
        <v>11</v>
      </c>
      <c r="Y7" s="30">
        <v>1218.5</v>
      </c>
      <c r="Z7" s="3"/>
      <c r="AA7" s="35"/>
      <c r="AB7" s="30">
        <f>SUM(AB2:AB6)</f>
        <v>22079.1</v>
      </c>
      <c r="AC7" s="3"/>
      <c r="AD7" s="35"/>
      <c r="AE7" s="30">
        <v>48</v>
      </c>
      <c r="AF7" s="3"/>
      <c r="AG7" s="35"/>
      <c r="AH7" s="32">
        <f>SUM(AH2:AH6)</f>
        <v>10000</v>
      </c>
      <c r="AI7" s="35"/>
    </row>
    <row r="8" spans="1:35" ht="15" thickBot="1" x14ac:dyDescent="0.4">
      <c r="A8" s="24">
        <v>44256</v>
      </c>
      <c r="B8" s="3">
        <v>186.5</v>
      </c>
      <c r="C8" s="24">
        <v>44256</v>
      </c>
      <c r="D8" s="3">
        <f>180+40</f>
        <v>220</v>
      </c>
      <c r="E8" s="3">
        <f t="shared" si="2"/>
        <v>406.5</v>
      </c>
      <c r="F8" s="24">
        <v>44256</v>
      </c>
      <c r="G8" s="3">
        <v>218.64</v>
      </c>
      <c r="H8" s="3"/>
      <c r="I8" s="3">
        <f t="shared" ref="I8:I37" si="3">G8+H8</f>
        <v>218.64</v>
      </c>
      <c r="J8" s="27">
        <f t="shared" si="1"/>
        <v>625.14</v>
      </c>
      <c r="K8" s="3"/>
      <c r="L8" s="8" t="s">
        <v>96</v>
      </c>
      <c r="M8" s="3">
        <v>1590.3</v>
      </c>
      <c r="N8" s="3"/>
      <c r="O8" s="8"/>
      <c r="P8" s="3"/>
      <c r="Q8" s="3"/>
      <c r="R8" s="31" t="s">
        <v>73</v>
      </c>
      <c r="S8" s="30">
        <v>4578.6899999999996</v>
      </c>
      <c r="T8" s="3"/>
      <c r="U8" s="38">
        <v>44378</v>
      </c>
      <c r="V8" s="30">
        <v>2388.37</v>
      </c>
      <c r="W8" s="6"/>
      <c r="X8" s="35" t="s">
        <v>16</v>
      </c>
      <c r="Y8" s="30">
        <f>2007+140</f>
        <v>2147</v>
      </c>
      <c r="Z8" s="3"/>
      <c r="AA8" s="35"/>
      <c r="AB8" s="32">
        <f>AB1-AB7</f>
        <v>-129.09999999999854</v>
      </c>
      <c r="AC8" s="3"/>
      <c r="AD8" s="31" t="s">
        <v>18</v>
      </c>
      <c r="AE8" s="39">
        <v>1724</v>
      </c>
      <c r="AF8" s="3"/>
      <c r="AH8" s="3"/>
    </row>
    <row r="9" spans="1:35" ht="15" thickTop="1" x14ac:dyDescent="0.35">
      <c r="A9" s="24">
        <v>44287</v>
      </c>
      <c r="B9" s="3">
        <v>0</v>
      </c>
      <c r="C9" s="24">
        <v>44287</v>
      </c>
      <c r="D9" s="3">
        <f>534+180</f>
        <v>714</v>
      </c>
      <c r="E9" s="3">
        <f t="shared" si="2"/>
        <v>714</v>
      </c>
      <c r="F9" s="24">
        <v>44287</v>
      </c>
      <c r="G9" s="3">
        <v>476.11</v>
      </c>
      <c r="H9" s="3"/>
      <c r="I9" s="3">
        <f t="shared" si="3"/>
        <v>476.11</v>
      </c>
      <c r="J9" s="27">
        <f t="shared" si="1"/>
        <v>1190.1100000000001</v>
      </c>
      <c r="K9" s="3"/>
      <c r="L9" s="8" t="s">
        <v>105</v>
      </c>
      <c r="M9" s="3">
        <v>310.56</v>
      </c>
      <c r="N9" s="3"/>
      <c r="O9" s="8"/>
      <c r="P9" s="3"/>
      <c r="Q9" s="3"/>
      <c r="R9" s="31" t="s">
        <v>71</v>
      </c>
      <c r="S9" s="30">
        <v>4515</v>
      </c>
      <c r="T9" s="3"/>
      <c r="U9" s="38">
        <v>44409</v>
      </c>
      <c r="V9" s="30">
        <v>3017.75</v>
      </c>
      <c r="W9" s="3"/>
      <c r="X9" s="35" t="s">
        <v>17</v>
      </c>
      <c r="Y9" s="30">
        <v>2470.5</v>
      </c>
      <c r="Z9" s="3"/>
      <c r="AB9" s="3"/>
      <c r="AC9" s="3"/>
      <c r="AD9" s="35"/>
      <c r="AE9" s="32">
        <f>SUM(AE5:AE8)</f>
        <v>2000</v>
      </c>
      <c r="AF9" s="3"/>
      <c r="AG9" s="3"/>
      <c r="AH9" s="3"/>
    </row>
    <row r="10" spans="1:35" x14ac:dyDescent="0.35">
      <c r="A10" s="24">
        <v>44317</v>
      </c>
      <c r="B10" s="3">
        <v>564</v>
      </c>
      <c r="C10" s="24">
        <v>44317</v>
      </c>
      <c r="D10" s="3">
        <f>1224+180+75</f>
        <v>1479</v>
      </c>
      <c r="E10" s="3">
        <f t="shared" si="2"/>
        <v>2043</v>
      </c>
      <c r="F10" s="24">
        <v>44317</v>
      </c>
      <c r="G10" s="3">
        <v>598.13</v>
      </c>
      <c r="H10" s="3"/>
      <c r="I10" s="3">
        <f t="shared" si="3"/>
        <v>598.13</v>
      </c>
      <c r="J10" s="27">
        <f t="shared" si="1"/>
        <v>2641.13</v>
      </c>
      <c r="K10" s="3"/>
      <c r="L10" s="8" t="s">
        <v>97</v>
      </c>
      <c r="M10" s="3">
        <v>2628</v>
      </c>
      <c r="N10" s="3"/>
      <c r="O10" s="8"/>
      <c r="P10" s="3"/>
      <c r="Q10" s="3"/>
      <c r="R10" s="31" t="s">
        <v>72</v>
      </c>
      <c r="S10" s="30">
        <v>2480.9499999999998</v>
      </c>
      <c r="T10" s="3"/>
      <c r="U10" s="38">
        <v>44440</v>
      </c>
      <c r="V10" s="30">
        <v>3774.34</v>
      </c>
      <c r="W10" s="3"/>
      <c r="X10" s="35" t="s">
        <v>18</v>
      </c>
      <c r="Y10" s="30">
        <f>D14-AE8</f>
        <v>933</v>
      </c>
      <c r="Z10" s="3"/>
      <c r="AA10" t="s">
        <v>52</v>
      </c>
      <c r="AB10" s="3"/>
      <c r="AC10" s="3"/>
      <c r="AE10" s="3"/>
      <c r="AF10" s="3"/>
      <c r="AH10" s="3"/>
    </row>
    <row r="11" spans="1:35" ht="15" thickBot="1" x14ac:dyDescent="0.4">
      <c r="A11" s="24">
        <v>44348</v>
      </c>
      <c r="B11" s="3">
        <v>1616.3</v>
      </c>
      <c r="C11" s="24">
        <v>44348</v>
      </c>
      <c r="D11" s="3">
        <f>3354+200</f>
        <v>3554</v>
      </c>
      <c r="E11" s="3">
        <f t="shared" si="2"/>
        <v>5170.3</v>
      </c>
      <c r="F11" s="24">
        <v>44348</v>
      </c>
      <c r="G11" s="3">
        <v>1618.72</v>
      </c>
      <c r="H11" s="3"/>
      <c r="I11" s="3">
        <f t="shared" si="3"/>
        <v>1618.72</v>
      </c>
      <c r="J11" s="27">
        <f t="shared" si="1"/>
        <v>6789.02</v>
      </c>
      <c r="K11" s="3"/>
      <c r="L11" s="8" t="s">
        <v>98</v>
      </c>
      <c r="M11" s="3">
        <v>3349.1</v>
      </c>
      <c r="N11" s="3"/>
      <c r="O11" s="8"/>
      <c r="P11" s="3"/>
      <c r="Q11" s="3"/>
      <c r="R11" s="31" t="s">
        <v>74</v>
      </c>
      <c r="S11" s="30">
        <v>3598.24</v>
      </c>
      <c r="T11" s="3"/>
      <c r="U11" s="38">
        <v>44470</v>
      </c>
      <c r="V11" s="30">
        <v>3492.27</v>
      </c>
      <c r="W11" s="3"/>
      <c r="X11" s="35" t="s">
        <v>19</v>
      </c>
      <c r="Y11" s="39">
        <v>2399.5</v>
      </c>
      <c r="Z11" s="3"/>
      <c r="AA11" t="s">
        <v>5</v>
      </c>
      <c r="AB11" s="3"/>
      <c r="AC11" s="3"/>
      <c r="AH11" s="3"/>
    </row>
    <row r="12" spans="1:35" ht="15" thickTop="1" x14ac:dyDescent="0.35">
      <c r="A12" s="24">
        <v>44378</v>
      </c>
      <c r="B12" s="3">
        <v>1218.5</v>
      </c>
      <c r="C12" s="24">
        <v>44378</v>
      </c>
      <c r="D12" s="3">
        <f>2376+130</f>
        <v>2506</v>
      </c>
      <c r="E12" s="3">
        <f t="shared" si="2"/>
        <v>3724.5</v>
      </c>
      <c r="F12" s="24">
        <v>44378</v>
      </c>
      <c r="G12" s="3">
        <v>2388.37</v>
      </c>
      <c r="H12" s="3"/>
      <c r="I12" s="3">
        <f t="shared" si="3"/>
        <v>2388.37</v>
      </c>
      <c r="J12" s="27">
        <f t="shared" si="1"/>
        <v>6112.87</v>
      </c>
      <c r="K12" s="3"/>
      <c r="L12" s="8" t="s">
        <v>106</v>
      </c>
      <c r="M12" s="3">
        <v>149.16999999999999</v>
      </c>
      <c r="N12" s="3"/>
      <c r="O12" s="8"/>
      <c r="P12" s="3"/>
      <c r="Q12" s="3"/>
      <c r="R12" s="31" t="s">
        <v>75</v>
      </c>
      <c r="S12" s="30">
        <v>3936</v>
      </c>
      <c r="T12" s="3"/>
      <c r="U12" s="38">
        <v>44501</v>
      </c>
      <c r="V12" s="30">
        <v>2147.85</v>
      </c>
      <c r="W12" s="3"/>
      <c r="X12" s="35"/>
      <c r="Y12" s="30">
        <f>SUM(Y2:Y11)</f>
        <v>18887.8</v>
      </c>
      <c r="Z12" s="3"/>
      <c r="AA12" t="s">
        <v>12</v>
      </c>
      <c r="AB12" s="3"/>
      <c r="AC12" s="3"/>
      <c r="AH12" s="3"/>
    </row>
    <row r="13" spans="1:35" x14ac:dyDescent="0.35">
      <c r="A13" s="24">
        <v>44409</v>
      </c>
      <c r="B13" s="3">
        <v>2470.5</v>
      </c>
      <c r="C13" s="24">
        <v>44409</v>
      </c>
      <c r="D13" s="3">
        <f>2007+140</f>
        <v>2147</v>
      </c>
      <c r="E13" s="3">
        <f t="shared" si="2"/>
        <v>4617.5</v>
      </c>
      <c r="F13" s="24">
        <v>44409</v>
      </c>
      <c r="G13" s="3">
        <v>3017.75</v>
      </c>
      <c r="H13" s="3"/>
      <c r="I13" s="3">
        <f t="shared" si="3"/>
        <v>3017.75</v>
      </c>
      <c r="J13" s="27">
        <f t="shared" si="1"/>
        <v>7635.25</v>
      </c>
      <c r="K13" s="3"/>
      <c r="L13" s="8" t="s">
        <v>99</v>
      </c>
      <c r="M13" s="3">
        <v>1975</v>
      </c>
      <c r="N13" s="3"/>
      <c r="O13" s="8"/>
      <c r="P13" s="3"/>
      <c r="Q13" s="3"/>
      <c r="R13" s="31" t="s">
        <v>76</v>
      </c>
      <c r="S13" s="30">
        <v>4111.45</v>
      </c>
      <c r="T13" s="3"/>
      <c r="U13" s="38">
        <v>44531</v>
      </c>
      <c r="V13" s="30">
        <v>3032.66</v>
      </c>
      <c r="W13" s="3"/>
      <c r="X13" s="35"/>
      <c r="Y13" s="32">
        <f>Y1-Y12</f>
        <v>-737.79999999999927</v>
      </c>
      <c r="Z13" s="3"/>
      <c r="AA13" t="s">
        <v>13</v>
      </c>
      <c r="AB13" s="3"/>
      <c r="AC13" s="3"/>
      <c r="AH13" s="3"/>
    </row>
    <row r="14" spans="1:35" x14ac:dyDescent="0.35">
      <c r="A14" s="24">
        <v>44440</v>
      </c>
      <c r="B14" s="3">
        <v>2399.5</v>
      </c>
      <c r="C14" s="24">
        <v>44440</v>
      </c>
      <c r="D14" s="3">
        <f>2292+240+125</f>
        <v>2657</v>
      </c>
      <c r="E14" s="3">
        <f t="shared" si="2"/>
        <v>5056.5</v>
      </c>
      <c r="F14" s="24">
        <v>44440</v>
      </c>
      <c r="G14" s="3">
        <v>3774.34</v>
      </c>
      <c r="H14" s="3"/>
      <c r="I14" s="3">
        <f t="shared" si="3"/>
        <v>3774.34</v>
      </c>
      <c r="J14" s="27">
        <f t="shared" si="1"/>
        <v>8830.84</v>
      </c>
      <c r="K14" s="3"/>
      <c r="L14" s="8" t="s">
        <v>100</v>
      </c>
      <c r="M14" s="3">
        <v>4829.05</v>
      </c>
      <c r="N14" s="3"/>
      <c r="O14" s="8"/>
      <c r="P14" s="3"/>
      <c r="Q14" s="3"/>
      <c r="R14" s="31" t="s">
        <v>77</v>
      </c>
      <c r="S14" s="30">
        <v>3921.32</v>
      </c>
      <c r="T14" s="3"/>
      <c r="U14" s="31" t="s">
        <v>33</v>
      </c>
      <c r="V14" s="32">
        <v>139.4</v>
      </c>
      <c r="W14" s="3"/>
      <c r="Z14" s="3"/>
      <c r="AA14" s="3" t="s">
        <v>32</v>
      </c>
      <c r="AB14" s="3"/>
      <c r="AC14" s="3"/>
      <c r="AF14" s="3"/>
      <c r="AH14" s="3"/>
    </row>
    <row r="15" spans="1:35" x14ac:dyDescent="0.35">
      <c r="A15" s="24">
        <v>44470</v>
      </c>
      <c r="B15" s="3">
        <v>1985.3</v>
      </c>
      <c r="C15" s="24">
        <v>44470</v>
      </c>
      <c r="D15" s="3">
        <f>3135+180</f>
        <v>3315</v>
      </c>
      <c r="E15" s="3">
        <f t="shared" si="2"/>
        <v>5300.3</v>
      </c>
      <c r="F15" s="24">
        <v>44470</v>
      </c>
      <c r="G15" s="3">
        <v>3492.27</v>
      </c>
      <c r="H15" s="3"/>
      <c r="I15" s="3">
        <f t="shared" si="3"/>
        <v>3492.27</v>
      </c>
      <c r="J15" s="27">
        <f t="shared" si="1"/>
        <v>8792.57</v>
      </c>
      <c r="K15" s="3"/>
      <c r="L15" s="7" t="s">
        <v>107</v>
      </c>
      <c r="M15" s="3">
        <v>243.96</v>
      </c>
      <c r="N15" s="3"/>
      <c r="O15" s="8"/>
      <c r="P15" s="3"/>
      <c r="Q15" s="3"/>
      <c r="R15" s="31" t="s">
        <v>78</v>
      </c>
      <c r="S15" s="30">
        <v>4320</v>
      </c>
      <c r="T15" s="3"/>
      <c r="U15" s="31" t="s">
        <v>29</v>
      </c>
      <c r="V15" s="30">
        <v>2112</v>
      </c>
      <c r="W15" s="3"/>
      <c r="X15" s="36" t="s">
        <v>62</v>
      </c>
      <c r="Y15" s="35"/>
      <c r="Z15" s="3"/>
      <c r="AA15" t="s">
        <v>31</v>
      </c>
      <c r="AB15" s="3"/>
      <c r="AC15" s="3"/>
      <c r="AF15" s="3"/>
      <c r="AH15" s="3"/>
    </row>
    <row r="16" spans="1:35" ht="15.5" x14ac:dyDescent="0.35">
      <c r="A16" s="24">
        <v>44501</v>
      </c>
      <c r="B16" s="3">
        <v>2355.3000000000002</v>
      </c>
      <c r="C16" s="24">
        <v>44501</v>
      </c>
      <c r="D16" s="3">
        <f>1878+90</f>
        <v>1968</v>
      </c>
      <c r="E16" s="3">
        <f t="shared" si="2"/>
        <v>4323.3</v>
      </c>
      <c r="F16" s="24">
        <v>44501</v>
      </c>
      <c r="G16" s="3">
        <v>2147.85</v>
      </c>
      <c r="H16" s="3"/>
      <c r="I16" s="3">
        <f t="shared" si="3"/>
        <v>2147.85</v>
      </c>
      <c r="J16" s="27">
        <f t="shared" si="1"/>
        <v>6471.15</v>
      </c>
      <c r="K16" s="3"/>
      <c r="L16" s="8" t="s">
        <v>124</v>
      </c>
      <c r="M16" s="3">
        <v>1383</v>
      </c>
      <c r="N16" s="3"/>
      <c r="O16" s="8"/>
      <c r="P16" s="3"/>
      <c r="Q16" s="3"/>
      <c r="R16" s="31" t="s">
        <v>79</v>
      </c>
      <c r="S16" s="30">
        <v>4256</v>
      </c>
      <c r="T16" s="3"/>
      <c r="U16" s="31" t="s">
        <v>34</v>
      </c>
      <c r="V16" s="30">
        <v>2426.5300000000002</v>
      </c>
      <c r="W16" s="3"/>
      <c r="X16" s="28" t="s">
        <v>24</v>
      </c>
      <c r="Y16" s="41">
        <v>13150</v>
      </c>
      <c r="Z16" s="3"/>
      <c r="AA16" t="s">
        <v>56</v>
      </c>
      <c r="AB16" s="3"/>
      <c r="AC16" s="3"/>
      <c r="AF16" s="3"/>
      <c r="AH16" s="3"/>
    </row>
    <row r="17" spans="1:34" x14ac:dyDescent="0.35">
      <c r="A17" s="24">
        <v>44531</v>
      </c>
      <c r="B17" s="3">
        <v>2112</v>
      </c>
      <c r="C17" s="24">
        <v>44531</v>
      </c>
      <c r="D17" s="3">
        <f>2628+180+120</f>
        <v>2928</v>
      </c>
      <c r="E17" s="3">
        <f t="shared" si="2"/>
        <v>5040</v>
      </c>
      <c r="F17" s="24">
        <v>44531</v>
      </c>
      <c r="G17" s="3">
        <v>3032.66</v>
      </c>
      <c r="H17" s="3"/>
      <c r="I17" s="3">
        <f t="shared" si="3"/>
        <v>3032.66</v>
      </c>
      <c r="J17" s="27">
        <f t="shared" si="1"/>
        <v>8072.66</v>
      </c>
      <c r="K17" s="3"/>
      <c r="L17" s="8" t="s">
        <v>125</v>
      </c>
      <c r="M17" s="3">
        <v>3878.9</v>
      </c>
      <c r="N17" s="3"/>
      <c r="O17" s="8"/>
      <c r="P17" s="3"/>
      <c r="Q17" s="3"/>
      <c r="R17" s="31" t="s">
        <v>80</v>
      </c>
      <c r="S17" s="30">
        <v>3738.53</v>
      </c>
      <c r="T17" s="3"/>
      <c r="U17" s="31" t="s">
        <v>35</v>
      </c>
      <c r="V17" s="30">
        <f>2184+180+125</f>
        <v>2489</v>
      </c>
      <c r="W17" s="3"/>
      <c r="X17" s="35" t="s">
        <v>30</v>
      </c>
      <c r="Y17" s="32">
        <v>737.8</v>
      </c>
      <c r="Z17" s="3"/>
      <c r="AB17" s="3"/>
      <c r="AC17" s="3"/>
      <c r="AF17" s="3"/>
      <c r="AH17" s="3"/>
    </row>
    <row r="18" spans="1:34" x14ac:dyDescent="0.35">
      <c r="A18" s="24">
        <v>44562</v>
      </c>
      <c r="B18" s="3">
        <v>2484.9</v>
      </c>
      <c r="C18" s="24">
        <v>44562</v>
      </c>
      <c r="D18" s="3">
        <f>2184+180+125</f>
        <v>2489</v>
      </c>
      <c r="E18" s="3">
        <f t="shared" si="2"/>
        <v>4973.8999999999996</v>
      </c>
      <c r="F18" s="24">
        <v>44562</v>
      </c>
      <c r="G18" s="3">
        <v>2426.5300000000002</v>
      </c>
      <c r="H18" s="3"/>
      <c r="I18" s="3">
        <f t="shared" si="3"/>
        <v>2426.5300000000002</v>
      </c>
      <c r="J18" s="27">
        <f t="shared" si="1"/>
        <v>7400.43</v>
      </c>
      <c r="K18" s="3"/>
      <c r="L18" s="7" t="s">
        <v>126</v>
      </c>
      <c r="M18" s="3">
        <v>449.49</v>
      </c>
      <c r="N18" s="3"/>
      <c r="O18" s="8"/>
      <c r="P18" s="3"/>
      <c r="Q18" s="3"/>
      <c r="R18" s="31" t="s">
        <v>81</v>
      </c>
      <c r="S18" s="30">
        <v>3588</v>
      </c>
      <c r="T18" s="3"/>
      <c r="U18" s="31" t="s">
        <v>36</v>
      </c>
      <c r="V18" s="30">
        <v>2484.9</v>
      </c>
      <c r="W18" s="3"/>
      <c r="X18" s="35" t="s">
        <v>20</v>
      </c>
      <c r="Y18" s="42">
        <f>3135+180</f>
        <v>3315</v>
      </c>
      <c r="Z18" s="3"/>
      <c r="AA18" s="3" t="s">
        <v>14</v>
      </c>
      <c r="AB18" s="3"/>
      <c r="AC18" s="3"/>
      <c r="AF18" s="3"/>
      <c r="AH18" s="3"/>
    </row>
    <row r="19" spans="1:34" x14ac:dyDescent="0.35">
      <c r="A19" s="24">
        <v>44593</v>
      </c>
      <c r="B19" s="3">
        <v>4191.5</v>
      </c>
      <c r="C19" s="24">
        <v>44593</v>
      </c>
      <c r="D19" s="3">
        <f>3444+120</f>
        <v>3564</v>
      </c>
      <c r="E19" s="3">
        <f t="shared" si="2"/>
        <v>7755.5</v>
      </c>
      <c r="F19" s="24">
        <v>44593</v>
      </c>
      <c r="G19" s="3">
        <v>2872.53</v>
      </c>
      <c r="H19" s="3"/>
      <c r="I19" s="3">
        <f t="shared" si="3"/>
        <v>2872.53</v>
      </c>
      <c r="J19" s="27">
        <f t="shared" si="1"/>
        <v>10628.03</v>
      </c>
      <c r="K19" s="3"/>
      <c r="L19" s="7" t="s">
        <v>134</v>
      </c>
      <c r="M19" s="3">
        <v>2094.1</v>
      </c>
      <c r="N19" s="3"/>
      <c r="O19" s="8"/>
      <c r="P19" s="3"/>
      <c r="Q19" s="3"/>
      <c r="R19" s="31" t="s">
        <v>82</v>
      </c>
      <c r="S19" s="30">
        <v>4245.6499999999996</v>
      </c>
      <c r="T19" s="3"/>
      <c r="U19" s="31" t="s">
        <v>37</v>
      </c>
      <c r="V19" s="30">
        <v>2872.53</v>
      </c>
      <c r="W19" s="3"/>
      <c r="X19" s="35" t="s">
        <v>26</v>
      </c>
      <c r="Y19" s="30">
        <v>1985.3</v>
      </c>
      <c r="Z19" s="3"/>
      <c r="AA19" s="3"/>
      <c r="AB19" s="3"/>
      <c r="AC19" s="3"/>
      <c r="AF19" s="3"/>
      <c r="AH19" s="3"/>
    </row>
    <row r="20" spans="1:34" x14ac:dyDescent="0.35">
      <c r="A20" s="24">
        <v>44621</v>
      </c>
      <c r="B20" s="3">
        <v>2801.3</v>
      </c>
      <c r="C20" s="24">
        <v>44621</v>
      </c>
      <c r="D20" s="3">
        <v>4890</v>
      </c>
      <c r="E20" s="3">
        <f t="shared" si="2"/>
        <v>7691.3</v>
      </c>
      <c r="F20" s="24">
        <v>44621</v>
      </c>
      <c r="G20" s="3">
        <v>4590.1099999999997</v>
      </c>
      <c r="H20" s="3"/>
      <c r="I20" s="3">
        <f t="shared" si="3"/>
        <v>4590.1099999999997</v>
      </c>
      <c r="J20" s="27">
        <f t="shared" si="1"/>
        <v>12281.41</v>
      </c>
      <c r="K20" s="3"/>
      <c r="L20" s="7" t="s">
        <v>135</v>
      </c>
      <c r="M20" s="3">
        <v>1475</v>
      </c>
      <c r="N20" s="3"/>
      <c r="O20" s="8"/>
      <c r="P20" s="3"/>
      <c r="Q20" s="3"/>
      <c r="R20" s="31" t="s">
        <v>83</v>
      </c>
      <c r="S20" s="30">
        <v>3419.72</v>
      </c>
      <c r="T20" s="3"/>
      <c r="U20" s="31" t="s">
        <v>38</v>
      </c>
      <c r="V20" s="30">
        <f>3444+120</f>
        <v>3564</v>
      </c>
      <c r="W20" s="3"/>
      <c r="X20" s="35" t="s">
        <v>25</v>
      </c>
      <c r="Y20" s="30">
        <f>1878+90</f>
        <v>1968</v>
      </c>
      <c r="Z20" s="3"/>
      <c r="AA20" s="3" t="s">
        <v>53</v>
      </c>
      <c r="AB20" s="3"/>
      <c r="AC20" s="3"/>
      <c r="AF20" s="3"/>
      <c r="AH20" s="3"/>
    </row>
    <row r="21" spans="1:34" x14ac:dyDescent="0.35">
      <c r="A21" s="24">
        <v>44652</v>
      </c>
      <c r="B21" s="3">
        <v>2654.5</v>
      </c>
      <c r="C21" s="24">
        <v>44652</v>
      </c>
      <c r="D21" s="3">
        <f>180+3276+120</f>
        <v>3576</v>
      </c>
      <c r="E21" s="3">
        <f t="shared" si="2"/>
        <v>6230.5</v>
      </c>
      <c r="F21" s="24">
        <v>44652</v>
      </c>
      <c r="G21" s="3">
        <v>5282.77</v>
      </c>
      <c r="H21" s="3"/>
      <c r="I21" s="3">
        <f t="shared" si="3"/>
        <v>5282.77</v>
      </c>
      <c r="J21" s="27">
        <f t="shared" si="1"/>
        <v>11513.27</v>
      </c>
      <c r="K21" s="3"/>
      <c r="L21" s="7" t="s">
        <v>132</v>
      </c>
      <c r="M21" s="3">
        <v>139.07</v>
      </c>
      <c r="N21" s="3"/>
      <c r="O21" s="8"/>
      <c r="P21" s="3"/>
      <c r="Q21" s="3"/>
      <c r="R21" s="31" t="s">
        <v>84</v>
      </c>
      <c r="S21" s="30">
        <f>1824+180</f>
        <v>2004</v>
      </c>
      <c r="T21" s="3"/>
      <c r="U21" s="31" t="s">
        <v>39</v>
      </c>
      <c r="V21" s="30">
        <v>4191.5</v>
      </c>
      <c r="W21" s="3"/>
      <c r="X21" s="35" t="s">
        <v>27</v>
      </c>
      <c r="Y21" s="30">
        <v>2355.3000000000002</v>
      </c>
      <c r="Z21" s="3"/>
      <c r="AA21" s="3" t="s">
        <v>54</v>
      </c>
      <c r="AB21" s="3"/>
      <c r="AC21" s="3"/>
      <c r="AF21" s="3"/>
      <c r="AH21" s="3"/>
    </row>
    <row r="22" spans="1:34" ht="15" thickBot="1" x14ac:dyDescent="0.4">
      <c r="A22" s="24">
        <v>44682</v>
      </c>
      <c r="B22" s="3">
        <v>2374.1</v>
      </c>
      <c r="C22" s="24">
        <v>44682</v>
      </c>
      <c r="D22" s="3">
        <f>3692+180</f>
        <v>3872</v>
      </c>
      <c r="E22" s="3">
        <f t="shared" si="2"/>
        <v>6246.1</v>
      </c>
      <c r="F22" s="24">
        <v>44682</v>
      </c>
      <c r="G22" s="3">
        <v>6185.38</v>
      </c>
      <c r="H22" s="3"/>
      <c r="I22" s="3">
        <f t="shared" si="3"/>
        <v>6185.38</v>
      </c>
      <c r="J22" s="27">
        <f t="shared" si="1"/>
        <v>12431.48</v>
      </c>
      <c r="K22" s="3"/>
      <c r="L22" s="25" t="s">
        <v>136</v>
      </c>
      <c r="M22" s="20">
        <v>4930.55</v>
      </c>
      <c r="N22" s="3"/>
      <c r="O22" s="8"/>
      <c r="P22" s="3"/>
      <c r="Q22" s="3"/>
      <c r="R22" s="31" t="s">
        <v>85</v>
      </c>
      <c r="S22" s="30">
        <v>2561.3000000000002</v>
      </c>
      <c r="T22" s="3"/>
      <c r="U22" s="31" t="s">
        <v>40</v>
      </c>
      <c r="V22" s="30">
        <v>4590.1099999999997</v>
      </c>
      <c r="W22" s="3"/>
      <c r="X22" s="35" t="s">
        <v>28</v>
      </c>
      <c r="Y22" s="39">
        <f>2628+180+120</f>
        <v>2928</v>
      </c>
      <c r="Z22" s="3"/>
      <c r="AB22" s="15"/>
      <c r="AC22" s="3"/>
      <c r="AF22" s="3"/>
      <c r="AH22" s="3"/>
    </row>
    <row r="23" spans="1:34" ht="15" thickTop="1" x14ac:dyDescent="0.35">
      <c r="A23" s="24">
        <v>44713</v>
      </c>
      <c r="B23" s="3">
        <v>3507</v>
      </c>
      <c r="C23" s="24">
        <v>44713</v>
      </c>
      <c r="D23" s="3">
        <v>2770</v>
      </c>
      <c r="E23" s="3">
        <f t="shared" si="2"/>
        <v>6277</v>
      </c>
      <c r="F23" s="24">
        <v>44713</v>
      </c>
      <c r="G23" s="3">
        <v>4243.07</v>
      </c>
      <c r="H23" s="3"/>
      <c r="I23" s="3">
        <f t="shared" si="3"/>
        <v>4243.07</v>
      </c>
      <c r="J23" s="27">
        <f t="shared" si="1"/>
        <v>10520.07</v>
      </c>
      <c r="K23" s="3"/>
      <c r="L23" s="25" t="s">
        <v>137</v>
      </c>
      <c r="M23" s="20">
        <v>1416</v>
      </c>
      <c r="N23" s="3"/>
      <c r="O23" s="8"/>
      <c r="P23" s="3"/>
      <c r="Q23" s="3"/>
      <c r="R23" s="31" t="s">
        <v>88</v>
      </c>
      <c r="S23" s="30">
        <v>2975.65</v>
      </c>
      <c r="T23" s="3"/>
      <c r="U23" s="31" t="s">
        <v>43</v>
      </c>
      <c r="V23" s="30">
        <v>5282.78</v>
      </c>
      <c r="W23" s="3"/>
      <c r="X23" s="35"/>
      <c r="Y23" s="30">
        <f>SUM(Y17:Y22)</f>
        <v>13289.400000000001</v>
      </c>
      <c r="Z23" s="3"/>
      <c r="AA23" s="3" t="s">
        <v>86</v>
      </c>
      <c r="AC23" s="3"/>
      <c r="AF23" s="3"/>
      <c r="AH23" s="3"/>
    </row>
    <row r="24" spans="1:34" x14ac:dyDescent="0.35">
      <c r="A24" s="24">
        <v>44743</v>
      </c>
      <c r="B24" s="3">
        <v>2371.4</v>
      </c>
      <c r="C24" s="24">
        <v>44743</v>
      </c>
      <c r="D24" s="3">
        <v>2178</v>
      </c>
      <c r="E24" s="3">
        <f t="shared" si="2"/>
        <v>4549.3999999999996</v>
      </c>
      <c r="F24" s="24">
        <v>44743</v>
      </c>
      <c r="G24" s="3">
        <v>4798.18</v>
      </c>
      <c r="I24" s="3">
        <f t="shared" si="3"/>
        <v>4798.18</v>
      </c>
      <c r="J24" s="27">
        <f t="shared" si="1"/>
        <v>9347.58</v>
      </c>
      <c r="L24" s="23" t="s">
        <v>138</v>
      </c>
      <c r="M24" s="20">
        <v>556.28</v>
      </c>
      <c r="O24" s="8"/>
      <c r="P24" s="3"/>
      <c r="R24" s="31" t="s">
        <v>89</v>
      </c>
      <c r="S24" s="30">
        <v>1183.1300000000001</v>
      </c>
      <c r="U24" s="31" t="s">
        <v>46</v>
      </c>
      <c r="V24" s="30">
        <v>6185.38</v>
      </c>
      <c r="X24" s="35"/>
      <c r="Y24" s="32">
        <f>Y16-Y23</f>
        <v>-139.40000000000146</v>
      </c>
    </row>
    <row r="25" spans="1:34" ht="15.5" x14ac:dyDescent="0.35">
      <c r="A25" s="24">
        <v>44774</v>
      </c>
      <c r="B25" s="3">
        <v>2480.9499999999998</v>
      </c>
      <c r="C25" s="24">
        <v>44774</v>
      </c>
      <c r="D25" s="3">
        <v>4515</v>
      </c>
      <c r="E25" s="3">
        <f t="shared" si="2"/>
        <v>6995.95</v>
      </c>
      <c r="F25" s="24">
        <v>44774</v>
      </c>
      <c r="G25" s="3">
        <v>4578.6899999999996</v>
      </c>
      <c r="I25" s="3">
        <f t="shared" si="3"/>
        <v>4578.6899999999996</v>
      </c>
      <c r="J25" s="27">
        <f t="shared" si="1"/>
        <v>11574.64</v>
      </c>
      <c r="O25" s="8"/>
      <c r="P25" s="3"/>
      <c r="R25" s="31" t="s">
        <v>104</v>
      </c>
      <c r="S25" s="30">
        <v>136.24</v>
      </c>
      <c r="U25" s="31" t="s">
        <v>49</v>
      </c>
      <c r="V25" s="30">
        <v>4243.07</v>
      </c>
      <c r="X25" s="16"/>
      <c r="AA25" s="19" t="s">
        <v>58</v>
      </c>
      <c r="AB25" s="3"/>
    </row>
    <row r="26" spans="1:34" ht="15" thickBot="1" x14ac:dyDescent="0.4">
      <c r="A26" s="24">
        <v>44805</v>
      </c>
      <c r="B26" s="3">
        <v>4111.45</v>
      </c>
      <c r="C26" s="24">
        <v>44805</v>
      </c>
      <c r="D26" s="3">
        <v>3936</v>
      </c>
      <c r="E26" s="3">
        <f t="shared" si="2"/>
        <v>8047.45</v>
      </c>
      <c r="F26" s="24">
        <v>44805</v>
      </c>
      <c r="G26" s="3">
        <v>3598.24</v>
      </c>
      <c r="I26" s="3">
        <f t="shared" si="3"/>
        <v>3598.24</v>
      </c>
      <c r="J26" s="27">
        <f t="shared" si="1"/>
        <v>11645.689999999999</v>
      </c>
      <c r="M26" s="3"/>
      <c r="O26" s="8"/>
      <c r="P26" s="3"/>
      <c r="R26" s="31" t="s">
        <v>90</v>
      </c>
      <c r="S26" s="30">
        <v>2326.15</v>
      </c>
      <c r="U26" s="31" t="s">
        <v>67</v>
      </c>
      <c r="V26" s="39">
        <v>4798.18</v>
      </c>
      <c r="X26" s="36" t="s">
        <v>63</v>
      </c>
      <c r="Y26" s="35"/>
      <c r="AA26" s="18" t="s">
        <v>60</v>
      </c>
      <c r="AB26" s="3">
        <v>825</v>
      </c>
      <c r="AD26" s="11"/>
    </row>
    <row r="27" spans="1:34" ht="16" thickTop="1" x14ac:dyDescent="0.35">
      <c r="A27" s="24">
        <v>44835</v>
      </c>
      <c r="B27" s="3">
        <v>4256</v>
      </c>
      <c r="C27" s="24">
        <v>44835</v>
      </c>
      <c r="D27" s="3">
        <v>4320</v>
      </c>
      <c r="E27" s="3">
        <f t="shared" si="2"/>
        <v>8576</v>
      </c>
      <c r="F27" s="24">
        <v>44835</v>
      </c>
      <c r="G27" s="3">
        <v>3921.32</v>
      </c>
      <c r="I27" s="3">
        <f t="shared" si="3"/>
        <v>3921.32</v>
      </c>
      <c r="J27" s="27">
        <f t="shared" si="1"/>
        <v>12497.32</v>
      </c>
      <c r="M27" s="3"/>
      <c r="O27" s="8"/>
      <c r="P27" s="3"/>
      <c r="R27" s="31" t="s">
        <v>105</v>
      </c>
      <c r="S27" s="30">
        <v>408.72</v>
      </c>
      <c r="U27" s="35"/>
      <c r="V27" s="30">
        <f>SUM(V2:V26)</f>
        <v>75685.320000000007</v>
      </c>
      <c r="X27" s="28" t="s">
        <v>55</v>
      </c>
      <c r="Y27" s="43">
        <f>3400+4967.2+14311</f>
        <v>22678.2</v>
      </c>
      <c r="AA27" s="18" t="s">
        <v>59</v>
      </c>
      <c r="AB27" s="9">
        <v>4950</v>
      </c>
    </row>
    <row r="28" spans="1:34" x14ac:dyDescent="0.35">
      <c r="A28" s="24">
        <v>44866</v>
      </c>
      <c r="B28" s="3">
        <v>4245.6499999999996</v>
      </c>
      <c r="C28" s="24">
        <v>44866</v>
      </c>
      <c r="D28" s="3">
        <v>3588</v>
      </c>
      <c r="E28" s="3">
        <f t="shared" si="2"/>
        <v>7833.65</v>
      </c>
      <c r="F28" s="24">
        <v>44866</v>
      </c>
      <c r="G28" s="3">
        <v>3738.53</v>
      </c>
      <c r="I28" s="3">
        <f t="shared" si="3"/>
        <v>3738.53</v>
      </c>
      <c r="J28" s="27">
        <f t="shared" si="1"/>
        <v>11572.18</v>
      </c>
      <c r="M28" s="3"/>
      <c r="O28" s="8"/>
      <c r="P28" s="3"/>
      <c r="R28" s="31" t="s">
        <v>101</v>
      </c>
      <c r="S28" s="30">
        <v>2154.34</v>
      </c>
      <c r="U28" s="40"/>
      <c r="V28" s="32">
        <f>V1-V27</f>
        <v>-4319.320000000007</v>
      </c>
      <c r="X28" s="31" t="s">
        <v>41</v>
      </c>
      <c r="Y28" s="30">
        <v>4890</v>
      </c>
      <c r="AA28" s="54" t="s">
        <v>130</v>
      </c>
      <c r="AB28" s="55">
        <v>5775</v>
      </c>
    </row>
    <row r="29" spans="1:34" x14ac:dyDescent="0.35">
      <c r="A29" s="24">
        <v>44896</v>
      </c>
      <c r="B29" s="3">
        <v>2561.3000000000002</v>
      </c>
      <c r="C29" s="24">
        <v>44896</v>
      </c>
      <c r="D29" s="3">
        <f>1824+180</f>
        <v>2004</v>
      </c>
      <c r="E29" s="3">
        <f t="shared" si="2"/>
        <v>4565.3</v>
      </c>
      <c r="F29" s="24">
        <v>44896</v>
      </c>
      <c r="G29" s="3">
        <v>3419.72</v>
      </c>
      <c r="I29" s="3">
        <f t="shared" si="3"/>
        <v>3419.72</v>
      </c>
      <c r="J29" s="27">
        <f t="shared" si="1"/>
        <v>7985.02</v>
      </c>
      <c r="M29" s="3"/>
      <c r="O29" s="8"/>
      <c r="P29" s="3"/>
      <c r="R29" s="31" t="s">
        <v>106</v>
      </c>
      <c r="S29" s="30">
        <v>0</v>
      </c>
      <c r="U29" s="8"/>
      <c r="X29" s="31" t="s">
        <v>42</v>
      </c>
      <c r="Y29" s="30">
        <v>2801.3</v>
      </c>
      <c r="AA29" s="14"/>
      <c r="AD29" s="11"/>
    </row>
    <row r="30" spans="1:34" x14ac:dyDescent="0.35">
      <c r="A30" s="24">
        <v>44927</v>
      </c>
      <c r="B30" s="3">
        <v>2992.35</v>
      </c>
      <c r="C30" s="24">
        <v>44927</v>
      </c>
      <c r="D30" s="3">
        <v>2864</v>
      </c>
      <c r="E30" s="3">
        <f t="shared" si="2"/>
        <v>5856.35</v>
      </c>
      <c r="F30" s="24">
        <v>44927</v>
      </c>
      <c r="G30" s="3">
        <v>2975.65</v>
      </c>
      <c r="H30" s="1"/>
      <c r="I30" s="3">
        <f t="shared" si="3"/>
        <v>2975.65</v>
      </c>
      <c r="J30" s="27">
        <f t="shared" si="1"/>
        <v>8832</v>
      </c>
      <c r="O30" s="8"/>
      <c r="P30" s="3"/>
      <c r="R30" s="31" t="s">
        <v>102</v>
      </c>
      <c r="S30" s="30">
        <v>2423.7800000000002</v>
      </c>
      <c r="V30" s="3"/>
      <c r="X30" s="31" t="s">
        <v>44</v>
      </c>
      <c r="Y30" s="30">
        <f>180+3276+120</f>
        <v>3576</v>
      </c>
      <c r="AA30" s="12"/>
    </row>
    <row r="31" spans="1:34" x14ac:dyDescent="0.35">
      <c r="A31" s="24">
        <v>44958</v>
      </c>
      <c r="B31" s="3">
        <v>2130</v>
      </c>
      <c r="C31" s="24">
        <v>44958</v>
      </c>
      <c r="D31" s="3">
        <v>1308</v>
      </c>
      <c r="E31" s="3">
        <f t="shared" si="2"/>
        <v>3438</v>
      </c>
      <c r="F31" s="24">
        <v>44958</v>
      </c>
      <c r="G31" s="3">
        <v>1183.1300000000001</v>
      </c>
      <c r="H31" s="3">
        <f>405.42+136.24</f>
        <v>541.66000000000008</v>
      </c>
      <c r="I31" s="3">
        <f t="shared" si="3"/>
        <v>1724.7900000000002</v>
      </c>
      <c r="J31" s="27">
        <f t="shared" si="1"/>
        <v>5162.79</v>
      </c>
      <c r="O31" s="8"/>
      <c r="P31" s="3"/>
      <c r="R31" s="31" t="s">
        <v>107</v>
      </c>
      <c r="S31" s="30">
        <v>58.49</v>
      </c>
      <c r="X31" s="31" t="s">
        <v>45</v>
      </c>
      <c r="Y31" s="30">
        <v>2654.5</v>
      </c>
      <c r="AA31" s="13"/>
      <c r="AB31" s="3"/>
    </row>
    <row r="32" spans="1:34" x14ac:dyDescent="0.35">
      <c r="A32" s="24">
        <v>44986</v>
      </c>
      <c r="B32" s="3">
        <v>1590.3</v>
      </c>
      <c r="C32" s="24">
        <v>44986</v>
      </c>
      <c r="D32" s="3">
        <v>1644</v>
      </c>
      <c r="E32" s="3">
        <f t="shared" si="2"/>
        <v>3234.3</v>
      </c>
      <c r="F32" s="24">
        <v>44986</v>
      </c>
      <c r="G32" s="3">
        <v>2326.15</v>
      </c>
      <c r="H32" s="3">
        <f>310.56+408.72</f>
        <v>719.28</v>
      </c>
      <c r="I32" s="3">
        <f t="shared" si="3"/>
        <v>3045.4300000000003</v>
      </c>
      <c r="J32" s="27">
        <f t="shared" si="1"/>
        <v>6279.7300000000005</v>
      </c>
      <c r="O32" s="8"/>
      <c r="P32" s="3"/>
      <c r="R32" s="31" t="s">
        <v>127</v>
      </c>
      <c r="S32" s="30">
        <v>2028.54</v>
      </c>
      <c r="X32" s="31" t="s">
        <v>47</v>
      </c>
      <c r="Y32" s="30">
        <f>3692+180</f>
        <v>3872</v>
      </c>
      <c r="AA32" s="13"/>
    </row>
    <row r="33" spans="1:27" ht="15" thickBot="1" x14ac:dyDescent="0.4">
      <c r="A33" s="24">
        <v>45017</v>
      </c>
      <c r="B33" s="3">
        <v>3349.1</v>
      </c>
      <c r="C33" s="24">
        <v>45017</v>
      </c>
      <c r="D33" s="3">
        <v>2628</v>
      </c>
      <c r="E33" s="3">
        <f t="shared" si="2"/>
        <v>5977.1</v>
      </c>
      <c r="F33" s="24">
        <v>45017</v>
      </c>
      <c r="G33" s="3">
        <v>2154.34</v>
      </c>
      <c r="H33" s="3">
        <v>149.16999999999999</v>
      </c>
      <c r="I33" s="3">
        <f t="shared" si="3"/>
        <v>2303.5100000000002</v>
      </c>
      <c r="J33" s="27">
        <f t="shared" si="1"/>
        <v>8280.61</v>
      </c>
      <c r="O33" s="8"/>
      <c r="P33" s="3"/>
      <c r="R33" s="31" t="s">
        <v>126</v>
      </c>
      <c r="S33" s="30">
        <v>288.76</v>
      </c>
      <c r="V33" s="3"/>
      <c r="X33" s="31" t="s">
        <v>48</v>
      </c>
      <c r="Y33" s="39">
        <v>2374.1</v>
      </c>
      <c r="AA33" s="13"/>
    </row>
    <row r="34" spans="1:27" ht="15" thickTop="1" x14ac:dyDescent="0.35">
      <c r="A34" s="24">
        <v>45047</v>
      </c>
      <c r="B34" s="3">
        <v>4829.05</v>
      </c>
      <c r="C34" s="24">
        <v>45047</v>
      </c>
      <c r="D34" s="3">
        <v>1975</v>
      </c>
      <c r="E34" s="3">
        <f t="shared" si="2"/>
        <v>6804.05</v>
      </c>
      <c r="F34" s="24">
        <v>45047</v>
      </c>
      <c r="G34" s="3">
        <v>2423.7800000000002</v>
      </c>
      <c r="H34" s="3">
        <v>302.45</v>
      </c>
      <c r="I34" s="3">
        <f t="shared" si="3"/>
        <v>2726.23</v>
      </c>
      <c r="J34" s="27">
        <f t="shared" si="1"/>
        <v>9530.2800000000007</v>
      </c>
      <c r="O34" s="3"/>
      <c r="P34" s="3"/>
      <c r="R34" s="30" t="s">
        <v>128</v>
      </c>
      <c r="S34" s="30">
        <v>5775</v>
      </c>
      <c r="X34" s="35"/>
      <c r="Y34" s="30">
        <f>SUM(Y28:Y33)</f>
        <v>20167.899999999998</v>
      </c>
    </row>
    <row r="35" spans="1:27" x14ac:dyDescent="0.35">
      <c r="A35" s="24">
        <v>45078</v>
      </c>
      <c r="B35" s="3">
        <v>3878.9</v>
      </c>
      <c r="C35" s="24">
        <v>45078</v>
      </c>
      <c r="D35" s="3">
        <v>1383</v>
      </c>
      <c r="E35" s="3">
        <f t="shared" si="2"/>
        <v>5261.9</v>
      </c>
      <c r="F35" s="24">
        <v>45078</v>
      </c>
      <c r="G35" s="3">
        <v>2028.54</v>
      </c>
      <c r="H35" s="3">
        <v>738.25</v>
      </c>
      <c r="I35" s="3">
        <f t="shared" si="3"/>
        <v>2766.79</v>
      </c>
      <c r="J35" s="27">
        <f t="shared" si="1"/>
        <v>8028.69</v>
      </c>
      <c r="R35" s="33" t="s">
        <v>121</v>
      </c>
      <c r="S35" s="34">
        <f>SUM(S2:S34)</f>
        <v>93038.369999999981</v>
      </c>
      <c r="X35" s="35"/>
      <c r="Y35" s="32">
        <v>2345.59</v>
      </c>
      <c r="Z35" s="3" t="s">
        <v>66</v>
      </c>
    </row>
    <row r="36" spans="1:27" ht="15" thickBot="1" x14ac:dyDescent="0.4">
      <c r="A36" s="24">
        <v>45108</v>
      </c>
      <c r="B36" s="3">
        <v>2094.1</v>
      </c>
      <c r="C36" s="24">
        <v>45108</v>
      </c>
      <c r="D36" s="3">
        <v>1475</v>
      </c>
      <c r="E36" s="3">
        <f t="shared" si="2"/>
        <v>3569.1</v>
      </c>
      <c r="F36" s="24">
        <v>45108</v>
      </c>
      <c r="G36" s="3">
        <v>2602.11</v>
      </c>
      <c r="H36" s="3">
        <v>139.07</v>
      </c>
      <c r="I36" s="3">
        <f t="shared" si="3"/>
        <v>2741.1800000000003</v>
      </c>
      <c r="J36" s="27">
        <f t="shared" si="1"/>
        <v>6310.2800000000007</v>
      </c>
      <c r="L36" s="49" t="s">
        <v>121</v>
      </c>
      <c r="M36" s="26">
        <f>SUM(M2:M24)</f>
        <v>42741.3</v>
      </c>
      <c r="O36" s="49" t="s">
        <v>121</v>
      </c>
      <c r="P36" s="50">
        <f>SUM(P2:P34)</f>
        <v>5420.6900000000005</v>
      </c>
      <c r="X36" s="35"/>
      <c r="Y36" s="44">
        <v>33290.5</v>
      </c>
      <c r="Z36" t="s">
        <v>64</v>
      </c>
    </row>
    <row r="37" spans="1:27" ht="15" thickTop="1" x14ac:dyDescent="0.35">
      <c r="A37" s="47">
        <v>45139</v>
      </c>
      <c r="B37" s="20">
        <v>4930.55</v>
      </c>
      <c r="C37" s="47">
        <v>45139</v>
      </c>
      <c r="D37" s="20">
        <v>1416</v>
      </c>
      <c r="E37" s="20">
        <f t="shared" si="2"/>
        <v>6346.55</v>
      </c>
      <c r="F37" s="47">
        <v>45139</v>
      </c>
      <c r="G37" s="20">
        <v>2679.51</v>
      </c>
      <c r="H37" s="20">
        <v>556.28</v>
      </c>
      <c r="I37" s="20">
        <f t="shared" si="3"/>
        <v>3235.79</v>
      </c>
      <c r="J37" s="26">
        <f t="shared" si="1"/>
        <v>9582.34</v>
      </c>
      <c r="L37" s="22"/>
      <c r="M37" s="22"/>
      <c r="O37" s="22"/>
      <c r="P37" s="22"/>
      <c r="R37" s="35"/>
      <c r="S37" s="35"/>
      <c r="X37" s="35"/>
      <c r="Y37" s="32">
        <f>SUM(Y35:Y36)</f>
        <v>35636.089999999997</v>
      </c>
      <c r="Z37" t="s">
        <v>65</v>
      </c>
    </row>
    <row r="38" spans="1:27" x14ac:dyDescent="0.35">
      <c r="L38" s="51" t="s">
        <v>108</v>
      </c>
      <c r="M38" s="50">
        <f>M1-M36</f>
        <v>44258.7</v>
      </c>
      <c r="O38" s="51" t="s">
        <v>108</v>
      </c>
      <c r="P38" s="50">
        <f>P1-P36</f>
        <v>144579.31</v>
      </c>
      <c r="R38" s="36" t="s">
        <v>108</v>
      </c>
      <c r="S38" s="34">
        <f>S1-S35</f>
        <v>6961.6300000000192</v>
      </c>
    </row>
    <row r="39" spans="1:27" x14ac:dyDescent="0.35">
      <c r="A39" s="51" t="s">
        <v>143</v>
      </c>
      <c r="B39" s="51"/>
      <c r="C39" s="51"/>
      <c r="D39" s="22"/>
      <c r="E39" s="22"/>
      <c r="F39" s="22"/>
      <c r="G39" s="22"/>
      <c r="H39" s="22"/>
      <c r="I39" s="22"/>
      <c r="J39" s="51"/>
      <c r="L39" s="22"/>
      <c r="M39" s="22"/>
      <c r="O39" s="22"/>
      <c r="P39" s="22"/>
    </row>
    <row r="40" spans="1:27" x14ac:dyDescent="0.35">
      <c r="A40" s="22"/>
      <c r="B40" s="49" t="s">
        <v>119</v>
      </c>
      <c r="C40" s="51">
        <v>235</v>
      </c>
      <c r="D40" s="22" t="s">
        <v>141</v>
      </c>
      <c r="E40" s="22"/>
      <c r="F40" s="22"/>
      <c r="G40" s="22"/>
      <c r="H40" s="22"/>
      <c r="I40" s="22"/>
      <c r="J40" s="51"/>
      <c r="L40" s="23" t="s">
        <v>109</v>
      </c>
      <c r="M40" s="20">
        <f>AVERAGE(E32:E37)</f>
        <v>5198.833333333333</v>
      </c>
      <c r="O40" s="23" t="s">
        <v>113</v>
      </c>
      <c r="P40" s="20">
        <f>AVERAGE(I32:I37)</f>
        <v>2803.1550000000002</v>
      </c>
    </row>
    <row r="41" spans="1:27" x14ac:dyDescent="0.35">
      <c r="A41" s="22"/>
      <c r="B41" s="49" t="s">
        <v>120</v>
      </c>
      <c r="C41" s="51">
        <v>197</v>
      </c>
      <c r="D41" s="22" t="s">
        <v>142</v>
      </c>
      <c r="E41" s="22"/>
      <c r="F41" s="22"/>
      <c r="G41" s="22"/>
      <c r="H41" s="22"/>
      <c r="I41" s="22"/>
      <c r="J41" s="51"/>
      <c r="L41" s="23" t="s">
        <v>110</v>
      </c>
      <c r="M41" s="52">
        <f>M38/M40</f>
        <v>8.5131984740166065</v>
      </c>
      <c r="O41" s="23" t="s">
        <v>110</v>
      </c>
      <c r="P41" s="52">
        <f>P38/P40</f>
        <v>51.577351234591021</v>
      </c>
    </row>
    <row r="42" spans="1:27" x14ac:dyDescent="0.35">
      <c r="L42" s="23" t="s">
        <v>111</v>
      </c>
      <c r="M42" s="53">
        <f>A36+(M41*30)</f>
        <v>45363.395954220498</v>
      </c>
      <c r="O42" s="23" t="s">
        <v>111</v>
      </c>
      <c r="P42" s="53">
        <f>A36+(P41*30)</f>
        <v>46655.320537037733</v>
      </c>
    </row>
    <row r="43" spans="1:27" x14ac:dyDescent="0.35">
      <c r="L43" s="22"/>
      <c r="M43" s="22"/>
    </row>
    <row r="51" spans="22:22" x14ac:dyDescent="0.35">
      <c r="V51" t="s">
        <v>114</v>
      </c>
    </row>
    <row r="54" spans="22:22" x14ac:dyDescent="0.35">
      <c r="V54" t="s">
        <v>115</v>
      </c>
    </row>
    <row r="57" spans="22:22" x14ac:dyDescent="0.35">
      <c r="V57" t="s">
        <v>116</v>
      </c>
    </row>
    <row r="60" spans="22:22" x14ac:dyDescent="0.35">
      <c r="V60" t="s">
        <v>117</v>
      </c>
    </row>
    <row r="64" spans="22:22" x14ac:dyDescent="0.35">
      <c r="V64" t="s">
        <v>122</v>
      </c>
    </row>
    <row r="67" spans="22:27" x14ac:dyDescent="0.35">
      <c r="V67" s="22" t="s">
        <v>133</v>
      </c>
      <c r="W67" s="22"/>
      <c r="X67" s="22"/>
      <c r="Y67" s="22"/>
      <c r="Z67" s="22"/>
      <c r="AA67" s="22"/>
    </row>
  </sheetData>
  <mergeCells count="3">
    <mergeCell ref="C1:D1"/>
    <mergeCell ref="F1:G1"/>
    <mergeCell ref="A1:B1"/>
  </mergeCells>
  <pageMargins left="0.7" right="0.7" top="0.75" bottom="0.75" header="0.3" footer="0.3"/>
  <pageSetup paperSize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Duchesneau, Adam</dc:creator>
  <cp:lastModifiedBy>Carty, Daniel E</cp:lastModifiedBy>
  <cp:lastPrinted>2022-04-05T18:46:07Z</cp:lastPrinted>
  <dcterms:created xsi:type="dcterms:W3CDTF">2021-08-04T13:09:50Z</dcterms:created>
  <dcterms:modified xsi:type="dcterms:W3CDTF">2023-09-21T14:32:47Z</dcterms:modified>
</cp:coreProperties>
</file>